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otte\Desktop\2023.2분기 보고서\23년 2분기 factsheet\"/>
    </mc:Choice>
  </mc:AlternateContent>
  <bookViews>
    <workbookView xWindow="0" yWindow="0" windowWidth="28740" windowHeight="12315" activeTab="4"/>
  </bookViews>
  <sheets>
    <sheet name="표지" sheetId="1" r:id="rId1"/>
    <sheet name="Highlight" sheetId="5" r:id="rId2"/>
    <sheet name="Premium" sheetId="3" r:id="rId3"/>
    <sheet name="UW Income" sheetId="2" r:id="rId4"/>
    <sheet name="IS" sheetId="6" r:id="rId5"/>
    <sheet name="BS" sheetId="7" r:id="rId6"/>
    <sheet name="&gt;&gt;경영기획팀back" sheetId="11" state="hidden" r:id="rId7"/>
    <sheet name="월별" sheetId="10" state="hidden" r:id="rId8"/>
    <sheet name="Q" sheetId="8" state="hidden" r:id="rId9"/>
    <sheet name="R" sheetId="9" state="hidden" r:id="rId10"/>
  </sheets>
  <externalReferences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</externalReferences>
  <definedNames>
    <definedName name="_xlnm.Print_Area" localSheetId="5">BS!$A$1:$L$8</definedName>
    <definedName name="_xlnm.Print_Area" localSheetId="1">Highlight!$A$1:$K$40</definedName>
    <definedName name="_xlnm.Print_Area" localSheetId="4">IS!$A$1:$K$8</definedName>
    <definedName name="_xlnm.Print_Area" localSheetId="2">Premium!$A$1:$N$21</definedName>
    <definedName name="_xlnm.Print_Area" localSheetId="3">'UW Income'!$A$1:$L$27</definedName>
    <definedName name="_xlnm.Print_Area" localSheetId="0">표지!$A$1:$L$33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4" i="3" l="1"/>
  <c r="AE74" i="10" l="1"/>
  <c r="AH74" i="10" s="1"/>
  <c r="S74" i="10" l="1"/>
  <c r="V74" i="10" l="1"/>
  <c r="AH83" i="10"/>
  <c r="AH81" i="10"/>
  <c r="Y74" i="10" l="1"/>
  <c r="AB74" i="10" s="1"/>
  <c r="AE83" i="10"/>
  <c r="AE81" i="10"/>
  <c r="AB83" i="10" l="1"/>
  <c r="AB81" i="10"/>
  <c r="Y83" i="10" l="1"/>
  <c r="Y81" i="10"/>
  <c r="V83" i="10" l="1"/>
  <c r="V81" i="10"/>
  <c r="S83" i="10" l="1"/>
  <c r="S81" i="10"/>
  <c r="AH88" i="10" l="1"/>
  <c r="AH82" i="10" s="1"/>
  <c r="AG88" i="10"/>
  <c r="AG82" i="10" s="1"/>
  <c r="AF88" i="10"/>
  <c r="AF82" i="10" s="1"/>
  <c r="AE88" i="10"/>
  <c r="AD88" i="10"/>
  <c r="AC88" i="10"/>
  <c r="AB88" i="10"/>
  <c r="AB82" i="10" s="1"/>
  <c r="Y88" i="10"/>
  <c r="Y82" i="10" s="1"/>
  <c r="V88" i="10"/>
  <c r="V82" i="10" s="1"/>
  <c r="S88" i="10"/>
  <c r="S82" i="10" s="1"/>
  <c r="AH92" i="10"/>
  <c r="AG92" i="10"/>
  <c r="AF92" i="10"/>
  <c r="AE92" i="10"/>
  <c r="AD92" i="10"/>
  <c r="AC92" i="10"/>
  <c r="AB92" i="10"/>
  <c r="Y92" i="10"/>
  <c r="V92" i="10"/>
  <c r="S92" i="10"/>
  <c r="AH91" i="10"/>
  <c r="AG91" i="10"/>
  <c r="AF91" i="10"/>
  <c r="AE91" i="10"/>
  <c r="AD91" i="10"/>
  <c r="AC91" i="10"/>
  <c r="AC89" i="10"/>
  <c r="AB91" i="10"/>
  <c r="Y91" i="10"/>
  <c r="V91" i="10"/>
  <c r="S91" i="10"/>
  <c r="AH90" i="10"/>
  <c r="AG90" i="10"/>
  <c r="AF90" i="10"/>
  <c r="AE90" i="10"/>
  <c r="AD90" i="10"/>
  <c r="AC90" i="10"/>
  <c r="AB90" i="10"/>
  <c r="AB93" i="10" s="1"/>
  <c r="AB104" i="10" s="1"/>
  <c r="Y90" i="10"/>
  <c r="V90" i="10"/>
  <c r="S90" i="10"/>
  <c r="AH89" i="10"/>
  <c r="AH93" i="10" s="1"/>
  <c r="AH104" i="10" s="1"/>
  <c r="AG89" i="10"/>
  <c r="AF89" i="10"/>
  <c r="AE89" i="10"/>
  <c r="AD89" i="10"/>
  <c r="AB89" i="10"/>
  <c r="Y89" i="10"/>
  <c r="Y93" i="10" s="1"/>
  <c r="Y104" i="10" s="1"/>
  <c r="V89" i="10"/>
  <c r="S89" i="10"/>
  <c r="S93" i="10" s="1"/>
  <c r="S104" i="10" s="1"/>
  <c r="AN93" i="10"/>
  <c r="AM93" i="10"/>
  <c r="AL93" i="10"/>
  <c r="AK93" i="10"/>
  <c r="AJ93" i="10"/>
  <c r="AI93" i="10"/>
  <c r="AG93" i="10"/>
  <c r="AG104" i="10" s="1"/>
  <c r="AA93" i="10"/>
  <c r="Z93" i="10"/>
  <c r="X93" i="10"/>
  <c r="W93" i="10"/>
  <c r="U93" i="10"/>
  <c r="T93" i="10"/>
  <c r="R93" i="10"/>
  <c r="Q93" i="10"/>
  <c r="I6" i="10"/>
  <c r="AC86" i="10"/>
  <c r="R86" i="10"/>
  <c r="S86" i="10" s="1"/>
  <c r="AF93" i="10" l="1"/>
  <c r="AF104" i="10" s="1"/>
  <c r="AC93" i="10"/>
  <c r="AC104" i="10" s="1"/>
  <c r="AC82" i="10"/>
  <c r="AD93" i="10"/>
  <c r="AD104" i="10" s="1"/>
  <c r="AD82" i="10"/>
  <c r="AE93" i="10"/>
  <c r="AE104" i="10" s="1"/>
  <c r="AE82" i="10"/>
  <c r="V93" i="10"/>
  <c r="V104" i="10" s="1"/>
  <c r="H88" i="10"/>
  <c r="AE86" i="10"/>
  <c r="T86" i="10"/>
  <c r="AD86" i="10"/>
  <c r="AH79" i="10"/>
  <c r="AG79" i="10"/>
  <c r="AF79" i="10"/>
  <c r="AE79" i="10"/>
  <c r="AD79" i="10"/>
  <c r="AC79" i="10"/>
  <c r="AB79" i="10"/>
  <c r="Y79" i="10"/>
  <c r="Y78" i="10"/>
  <c r="V79" i="10"/>
  <c r="V78" i="10"/>
  <c r="S79" i="10"/>
  <c r="S78" i="10"/>
  <c r="AN65" i="10"/>
  <c r="AM65" i="10"/>
  <c r="AL65" i="10"/>
  <c r="AK65" i="10"/>
  <c r="AJ65" i="10"/>
  <c r="AI65" i="10"/>
  <c r="AA65" i="10"/>
  <c r="Z65" i="10"/>
  <c r="X65" i="10"/>
  <c r="W65" i="10"/>
  <c r="U65" i="10"/>
  <c r="T65" i="10"/>
  <c r="R65" i="10"/>
  <c r="Q65" i="10"/>
  <c r="AH40" i="10"/>
  <c r="AG40" i="10"/>
  <c r="AF40" i="10"/>
  <c r="AE40" i="10"/>
  <c r="AD40" i="10"/>
  <c r="AC40" i="10"/>
  <c r="AB40" i="10"/>
  <c r="Y40" i="10"/>
  <c r="V40" i="10"/>
  <c r="AN60" i="10"/>
  <c r="AM60" i="10"/>
  <c r="AL60" i="10"/>
  <c r="AK60" i="10"/>
  <c r="AJ60" i="10"/>
  <c r="AI60" i="10"/>
  <c r="AA60" i="10"/>
  <c r="Z60" i="10"/>
  <c r="X60" i="10"/>
  <c r="W60" i="10"/>
  <c r="U60" i="10"/>
  <c r="T60" i="10"/>
  <c r="T56" i="10" s="1"/>
  <c r="R60" i="10"/>
  <c r="Q60" i="10"/>
  <c r="AN52" i="10"/>
  <c r="AM52" i="10"/>
  <c r="AL52" i="10"/>
  <c r="AK52" i="10"/>
  <c r="AJ52" i="10"/>
  <c r="AI52" i="10"/>
  <c r="AA52" i="10"/>
  <c r="Z52" i="10"/>
  <c r="X52" i="10"/>
  <c r="W52" i="10"/>
  <c r="U52" i="10"/>
  <c r="T52" i="10"/>
  <c r="R52" i="10"/>
  <c r="Q52" i="10"/>
  <c r="S40" i="10"/>
  <c r="AN68" i="10"/>
  <c r="AN64" i="10" s="1"/>
  <c r="AM68" i="10"/>
  <c r="AL68" i="10"/>
  <c r="AK68" i="10"/>
  <c r="AJ68" i="10"/>
  <c r="AI68" i="10"/>
  <c r="AA68" i="10"/>
  <c r="Z68" i="10"/>
  <c r="X68" i="10"/>
  <c r="W68" i="10"/>
  <c r="U68" i="10"/>
  <c r="T68" i="10"/>
  <c r="T64" i="10" s="1"/>
  <c r="R68" i="10"/>
  <c r="AN57" i="10"/>
  <c r="AN56" i="10" s="1"/>
  <c r="AM57" i="10"/>
  <c r="AM56" i="10" s="1"/>
  <c r="AL57" i="10"/>
  <c r="AK57" i="10"/>
  <c r="AJ57" i="10"/>
  <c r="AI57" i="10"/>
  <c r="AA57" i="10"/>
  <c r="Z57" i="10"/>
  <c r="X57" i="10"/>
  <c r="X56" i="10" s="1"/>
  <c r="W57" i="10"/>
  <c r="W56" i="10" s="1"/>
  <c r="U57" i="10"/>
  <c r="T57" i="10"/>
  <c r="R57" i="10"/>
  <c r="AN49" i="10"/>
  <c r="AM49" i="10"/>
  <c r="AL49" i="10"/>
  <c r="AL48" i="10" s="1"/>
  <c r="AK49" i="10"/>
  <c r="AJ49" i="10"/>
  <c r="AI49" i="10"/>
  <c r="AA49" i="10"/>
  <c r="Z49" i="10"/>
  <c r="Z48" i="10" s="1"/>
  <c r="X49" i="10"/>
  <c r="W49" i="10"/>
  <c r="U49" i="10"/>
  <c r="U48" i="10" s="1"/>
  <c r="T49" i="10"/>
  <c r="R49" i="10"/>
  <c r="AN44" i="10"/>
  <c r="AM44" i="10"/>
  <c r="AL44" i="10"/>
  <c r="AK44" i="10"/>
  <c r="AJ44" i="10"/>
  <c r="AI44" i="10"/>
  <c r="AA44" i="10"/>
  <c r="Z44" i="10"/>
  <c r="X44" i="10"/>
  <c r="W44" i="10"/>
  <c r="U44" i="10"/>
  <c r="T44" i="10"/>
  <c r="R44" i="10"/>
  <c r="AN39" i="10"/>
  <c r="AM39" i="10"/>
  <c r="AL39" i="10"/>
  <c r="AK39" i="10"/>
  <c r="AJ39" i="10"/>
  <c r="AI39" i="10"/>
  <c r="AA39" i="10"/>
  <c r="Z39" i="10"/>
  <c r="X39" i="10"/>
  <c r="W39" i="10"/>
  <c r="U39" i="10"/>
  <c r="T39" i="10"/>
  <c r="R39" i="10"/>
  <c r="AN36" i="10"/>
  <c r="AM36" i="10"/>
  <c r="AL36" i="10"/>
  <c r="AK36" i="10"/>
  <c r="AJ36" i="10"/>
  <c r="AI36" i="10"/>
  <c r="AA36" i="10"/>
  <c r="AA35" i="10" s="1"/>
  <c r="Z36" i="10"/>
  <c r="X36" i="10"/>
  <c r="W36" i="10"/>
  <c r="U36" i="10"/>
  <c r="T36" i="10"/>
  <c r="R36" i="10"/>
  <c r="Q68" i="10"/>
  <c r="Q57" i="10"/>
  <c r="Q49" i="10"/>
  <c r="Q44" i="10"/>
  <c r="Q39" i="10"/>
  <c r="Q36" i="10"/>
  <c r="S77" i="10" l="1"/>
  <c r="AI35" i="10"/>
  <c r="Q35" i="10"/>
  <c r="Q32" i="10" s="1"/>
  <c r="U64" i="10"/>
  <c r="Z56" i="10"/>
  <c r="U56" i="10"/>
  <c r="AA32" i="10"/>
  <c r="AI48" i="10"/>
  <c r="R35" i="10"/>
  <c r="AJ35" i="10"/>
  <c r="AJ32" i="10" s="1"/>
  <c r="X35" i="10"/>
  <c r="X32" i="10" s="1"/>
  <c r="X31" i="10" s="1"/>
  <c r="X72" i="10" s="1"/>
  <c r="X73" i="10" s="1"/>
  <c r="AN35" i="10"/>
  <c r="AN32" i="10" s="1"/>
  <c r="X48" i="10"/>
  <c r="Q64" i="10"/>
  <c r="Z35" i="10"/>
  <c r="Q56" i="10"/>
  <c r="W48" i="10"/>
  <c r="AM48" i="10"/>
  <c r="Y77" i="10"/>
  <c r="AK35" i="10"/>
  <c r="AK32" i="10" s="1"/>
  <c r="AA56" i="10"/>
  <c r="Z32" i="10"/>
  <c r="Z31" i="10" s="1"/>
  <c r="AJ56" i="10"/>
  <c r="T48" i="10"/>
  <c r="T35" i="10"/>
  <c r="T32" i="10" s="1"/>
  <c r="T31" i="10" s="1"/>
  <c r="T72" i="10" s="1"/>
  <c r="T73" i="10" s="1"/>
  <c r="U35" i="10"/>
  <c r="U32" i="10" s="1"/>
  <c r="U31" i="10" s="1"/>
  <c r="U72" i="10" s="1"/>
  <c r="U73" i="10" s="1"/>
  <c r="AL35" i="10"/>
  <c r="AL32" i="10" s="1"/>
  <c r="AI56" i="10"/>
  <c r="AI64" i="10"/>
  <c r="W64" i="10"/>
  <c r="AM64" i="10"/>
  <c r="R56" i="10"/>
  <c r="R64" i="10"/>
  <c r="X64" i="10"/>
  <c r="AF86" i="10"/>
  <c r="U86" i="10"/>
  <c r="AK56" i="10"/>
  <c r="R32" i="10"/>
  <c r="R48" i="10"/>
  <c r="AJ48" i="10"/>
  <c r="AK48" i="10"/>
  <c r="AA64" i="10"/>
  <c r="Q31" i="10"/>
  <c r="AJ64" i="10"/>
  <c r="AN48" i="10"/>
  <c r="AA48" i="10"/>
  <c r="AK64" i="10"/>
  <c r="Q48" i="10"/>
  <c r="W35" i="10"/>
  <c r="W32" i="10" s="1"/>
  <c r="W31" i="10" s="1"/>
  <c r="AM35" i="10"/>
  <c r="AM32" i="10" s="1"/>
  <c r="AM31" i="10" s="1"/>
  <c r="AI32" i="10"/>
  <c r="Z64" i="10"/>
  <c r="AL56" i="10"/>
  <c r="V77" i="10"/>
  <c r="AL64" i="10"/>
  <c r="W72" i="10" l="1"/>
  <c r="W73" i="10" s="1"/>
  <c r="AJ31" i="10"/>
  <c r="AJ72" i="10" s="1"/>
  <c r="AJ73" i="10" s="1"/>
  <c r="AN31" i="10"/>
  <c r="AN72" i="10" s="1"/>
  <c r="AN73" i="10" s="1"/>
  <c r="AL31" i="10"/>
  <c r="AL72" i="10" s="1"/>
  <c r="AL73" i="10" s="1"/>
  <c r="R31" i="10"/>
  <c r="R72" i="10" s="1"/>
  <c r="R73" i="10" s="1"/>
  <c r="Q72" i="10"/>
  <c r="Q73" i="10" s="1"/>
  <c r="AK31" i="10"/>
  <c r="AK72" i="10" s="1"/>
  <c r="AK73" i="10" s="1"/>
  <c r="AM72" i="10"/>
  <c r="AM73" i="10" s="1"/>
  <c r="V86" i="10"/>
  <c r="AG86" i="10"/>
  <c r="AA31" i="10"/>
  <c r="AA72" i="10" s="1"/>
  <c r="AA73" i="10" s="1"/>
  <c r="AI31" i="10"/>
  <c r="AI72" i="10" s="1"/>
  <c r="AI73" i="10" s="1"/>
  <c r="Z72" i="10"/>
  <c r="Z73" i="10" s="1"/>
  <c r="AH86" i="10" l="1"/>
  <c r="W86" i="10"/>
  <c r="AI86" i="10" l="1"/>
  <c r="X86" i="10"/>
  <c r="Y86" i="10" l="1"/>
  <c r="AJ86" i="10"/>
  <c r="Z86" i="10" l="1"/>
  <c r="AK86" i="10"/>
  <c r="AA86" i="10" l="1"/>
  <c r="AL86" i="10"/>
  <c r="AB86" i="10" l="1"/>
  <c r="AN86" i="10" s="1"/>
  <c r="AM86" i="10"/>
  <c r="AH78" i="10" l="1"/>
  <c r="AH77" i="10" s="1"/>
  <c r="AG78" i="10" l="1"/>
  <c r="AG77" i="10" s="1"/>
  <c r="AC78" i="10" l="1"/>
  <c r="AC77" i="10" s="1"/>
  <c r="AD78" i="10"/>
  <c r="AD77" i="10" s="1"/>
  <c r="AE78" i="10" l="1"/>
  <c r="AE77" i="10" s="1"/>
  <c r="AF78" i="10"/>
  <c r="AF77" i="10" s="1"/>
  <c r="AB78" i="10" l="1"/>
  <c r="AB77" i="10" s="1"/>
  <c r="V47" i="10" l="1"/>
  <c r="S47" i="10"/>
  <c r="S55" i="10"/>
  <c r="V38" i="10" l="1"/>
  <c r="S34" i="10"/>
  <c r="S45" i="10"/>
  <c r="S51" i="10"/>
  <c r="S33" i="10"/>
  <c r="Y34" i="10"/>
  <c r="S58" i="10"/>
  <c r="Y42" i="10"/>
  <c r="Y47" i="10"/>
  <c r="Y33" i="10"/>
  <c r="V54" i="10"/>
  <c r="V34" i="10"/>
  <c r="Y38" i="10"/>
  <c r="Y45" i="10"/>
  <c r="V46" i="10"/>
  <c r="Y46" i="10"/>
  <c r="Y63" i="10"/>
  <c r="V62" i="10"/>
  <c r="V63" i="10"/>
  <c r="S63" i="10"/>
  <c r="Y54" i="10"/>
  <c r="V55" i="10"/>
  <c r="Y55" i="10"/>
  <c r="Y37" i="10" l="1"/>
  <c r="Y36" i="10" s="1"/>
  <c r="V41" i="10"/>
  <c r="V45" i="10"/>
  <c r="V44" i="10" s="1"/>
  <c r="S37" i="10"/>
  <c r="S41" i="10"/>
  <c r="S38" i="10"/>
  <c r="Y44" i="10"/>
  <c r="V51" i="10"/>
  <c r="Y51" i="10"/>
  <c r="V37" i="10"/>
  <c r="V36" i="10" s="1"/>
  <c r="V42" i="10"/>
  <c r="S54" i="10"/>
  <c r="S42" i="10"/>
  <c r="S46" i="10"/>
  <c r="S44" i="10" s="1"/>
  <c r="S59" i="10"/>
  <c r="S57" i="10" s="1"/>
  <c r="V33" i="10"/>
  <c r="Y41" i="10"/>
  <c r="Y39" i="10" s="1"/>
  <c r="Y59" i="10"/>
  <c r="V59" i="10"/>
  <c r="V58" i="10"/>
  <c r="V53" i="10"/>
  <c r="V52" i="10" s="1"/>
  <c r="Y53" i="10"/>
  <c r="Y52" i="10" s="1"/>
  <c r="S53" i="10"/>
  <c r="V61" i="10"/>
  <c r="V60" i="10" s="1"/>
  <c r="Y61" i="10"/>
  <c r="V39" i="10" l="1"/>
  <c r="V35" i="10" s="1"/>
  <c r="S39" i="10"/>
  <c r="Y35" i="10"/>
  <c r="S52" i="10"/>
  <c r="V50" i="10"/>
  <c r="V49" i="10" s="1"/>
  <c r="V48" i="10" s="1"/>
  <c r="S61" i="10"/>
  <c r="S62" i="10"/>
  <c r="V57" i="10"/>
  <c r="V56" i="10" s="1"/>
  <c r="S36" i="10"/>
  <c r="Y62" i="10"/>
  <c r="Y60" i="10" s="1"/>
  <c r="Y50" i="10"/>
  <c r="Y49" i="10" s="1"/>
  <c r="Y48" i="10" s="1"/>
  <c r="Y58" i="10"/>
  <c r="Y57" i="10" s="1"/>
  <c r="V43" i="10"/>
  <c r="S43" i="10"/>
  <c r="V71" i="10"/>
  <c r="S71" i="10"/>
  <c r="Y71" i="10"/>
  <c r="Y43" i="10"/>
  <c r="Y32" i="10" l="1"/>
  <c r="S35" i="10"/>
  <c r="S32" i="10" s="1"/>
  <c r="V32" i="10"/>
  <c r="V31" i="10"/>
  <c r="S60" i="10"/>
  <c r="S56" i="10" s="1"/>
  <c r="Y56" i="10"/>
  <c r="Y31" i="10" l="1"/>
  <c r="Y69" i="10"/>
  <c r="AB69" i="10" l="1"/>
  <c r="Y66" i="10" l="1"/>
  <c r="V69" i="10" l="1"/>
  <c r="S69" i="10" l="1"/>
  <c r="S70" i="10" l="1"/>
  <c r="S68" i="10" s="1"/>
  <c r="V70" i="10"/>
  <c r="V68" i="10" s="1"/>
  <c r="Y67" i="10" l="1"/>
  <c r="Y65" i="10" s="1"/>
  <c r="V66" i="10" l="1"/>
  <c r="S66" i="10"/>
  <c r="V67" i="10" l="1"/>
  <c r="V65" i="10" s="1"/>
  <c r="V64" i="10" s="1"/>
  <c r="S67" i="10"/>
  <c r="S65" i="10" s="1"/>
  <c r="S64" i="10" s="1"/>
  <c r="S103" i="10" s="1"/>
  <c r="V72" i="10" l="1"/>
  <c r="V103" i="10"/>
  <c r="AH38" i="10"/>
  <c r="AH41" i="10"/>
  <c r="AG41" i="10"/>
  <c r="AH46" i="10"/>
  <c r="AG45" i="10"/>
  <c r="AH34" i="10"/>
  <c r="V73" i="10" l="1"/>
  <c r="AH42" i="10"/>
  <c r="AG34" i="10"/>
  <c r="AG38" i="10"/>
  <c r="AG37" i="10"/>
  <c r="AH39" i="10"/>
  <c r="AG47" i="10"/>
  <c r="AH47" i="10"/>
  <c r="AH37" i="10"/>
  <c r="AH36" i="10" s="1"/>
  <c r="AH53" i="10"/>
  <c r="AH33" i="10"/>
  <c r="AH63" i="10"/>
  <c r="AH35" i="10" l="1"/>
  <c r="AG33" i="10"/>
  <c r="AG46" i="10"/>
  <c r="AH45" i="10"/>
  <c r="AH44" i="10" s="1"/>
  <c r="AG36" i="10"/>
  <c r="AH62" i="10"/>
  <c r="AG42" i="10"/>
  <c r="AG39" i="10" s="1"/>
  <c r="AG50" i="10"/>
  <c r="AG66" i="10"/>
  <c r="AG62" i="10"/>
  <c r="AH71" i="10"/>
  <c r="AG51" i="10"/>
  <c r="AG63" i="10"/>
  <c r="AH51" i="10"/>
  <c r="AH55" i="10"/>
  <c r="AG55" i="10"/>
  <c r="AH58" i="10"/>
  <c r="AH50" i="10"/>
  <c r="AH70" i="10"/>
  <c r="AG49" i="10" l="1"/>
  <c r="AG61" i="10"/>
  <c r="AG60" i="10" s="1"/>
  <c r="AH54" i="10"/>
  <c r="AH52" i="10" s="1"/>
  <c r="AH59" i="10"/>
  <c r="AH57" i="10" s="1"/>
  <c r="AH61" i="10"/>
  <c r="AH60" i="10" s="1"/>
  <c r="AG35" i="10"/>
  <c r="AG58" i="10"/>
  <c r="AG59" i="10"/>
  <c r="AH49" i="10"/>
  <c r="AG53" i="10"/>
  <c r="AG71" i="10"/>
  <c r="AG54" i="10"/>
  <c r="AG44" i="10"/>
  <c r="AG70" i="10"/>
  <c r="AG57" i="10" l="1"/>
  <c r="AG56" i="10" s="1"/>
  <c r="AH66" i="10"/>
  <c r="AH56" i="10"/>
  <c r="AG52" i="10"/>
  <c r="AG48" i="10" s="1"/>
  <c r="AH48" i="10"/>
  <c r="AH43" i="10"/>
  <c r="AH32" i="10" s="1"/>
  <c r="AH31" i="10" l="1"/>
  <c r="AG69" i="10"/>
  <c r="AG68" i="10" s="1"/>
  <c r="AG43" i="10"/>
  <c r="AG32" i="10" s="1"/>
  <c r="AG31" i="10" s="1"/>
  <c r="AH69" i="10"/>
  <c r="AH68" i="10" s="1"/>
  <c r="AC34" i="10" l="1"/>
  <c r="AC33" i="10"/>
  <c r="AC46" i="10" l="1"/>
  <c r="AC45" i="10"/>
  <c r="AC51" i="10"/>
  <c r="AC59" i="10"/>
  <c r="AC47" i="10"/>
  <c r="AC38" i="10"/>
  <c r="AC62" i="10"/>
  <c r="AC55" i="10"/>
  <c r="AC69" i="10"/>
  <c r="AC37" i="10" l="1"/>
  <c r="AC36" i="10" s="1"/>
  <c r="AC41" i="10"/>
  <c r="AC42" i="10"/>
  <c r="AC44" i="10"/>
  <c r="AH67" i="10"/>
  <c r="AH65" i="10" s="1"/>
  <c r="AH64" i="10" s="1"/>
  <c r="AH72" i="10" s="1"/>
  <c r="AH73" i="10" s="1"/>
  <c r="AC54" i="10"/>
  <c r="AC58" i="10"/>
  <c r="AC57" i="10" s="1"/>
  <c r="AC63" i="10"/>
  <c r="AC39" i="10" l="1"/>
  <c r="AC35" i="10" s="1"/>
  <c r="AC61" i="10"/>
  <c r="AC60" i="10" s="1"/>
  <c r="AC56" i="10" s="1"/>
  <c r="AC53" i="10"/>
  <c r="AC52" i="10" s="1"/>
  <c r="AG67" i="10"/>
  <c r="AG65" i="10" s="1"/>
  <c r="AG64" i="10" s="1"/>
  <c r="AG72" i="10" s="1"/>
  <c r="AG73" i="10" s="1"/>
  <c r="AC50" i="10"/>
  <c r="AC49" i="10" s="1"/>
  <c r="AC70" i="10"/>
  <c r="AC68" i="10" s="1"/>
  <c r="Y70" i="10"/>
  <c r="Y68" i="10" s="1"/>
  <c r="Y64" i="10" s="1"/>
  <c r="Y72" i="10" l="1"/>
  <c r="Y103" i="10"/>
  <c r="AC48" i="10"/>
  <c r="AC43" i="10"/>
  <c r="AC32" i="10" s="1"/>
  <c r="AC31" i="10" s="1"/>
  <c r="AC71" i="10"/>
  <c r="AC66" i="10"/>
  <c r="Y73" i="10" l="1"/>
  <c r="AC67" i="10"/>
  <c r="AC65" i="10" s="1"/>
  <c r="AC64" i="10" s="1"/>
  <c r="AC72" i="10" l="1"/>
  <c r="AF34" i="10"/>
  <c r="AE47" i="10"/>
  <c r="AE45" i="10"/>
  <c r="AD47" i="10"/>
  <c r="AE33" i="10"/>
  <c r="AF47" i="10"/>
  <c r="AB47" i="10"/>
  <c r="AE46" i="10"/>
  <c r="AF33" i="10"/>
  <c r="AD45" i="10"/>
  <c r="AD46" i="10"/>
  <c r="AE34" i="10"/>
  <c r="AE41" i="10"/>
  <c r="AF46" i="10"/>
  <c r="AE42" i="10"/>
  <c r="AF41" i="10"/>
  <c r="AD33" i="10"/>
  <c r="AD34" i="10"/>
  <c r="AD41" i="10"/>
  <c r="AF45" i="10"/>
  <c r="AF59" i="10"/>
  <c r="AE59" i="10"/>
  <c r="AD59" i="10"/>
  <c r="AD63" i="10"/>
  <c r="AE63" i="10"/>
  <c r="AE62" i="10"/>
  <c r="AF63" i="10"/>
  <c r="AF62" i="10"/>
  <c r="AD62" i="10"/>
  <c r="AB62" i="10"/>
  <c r="AF55" i="10"/>
  <c r="AD55" i="10"/>
  <c r="AB55" i="10"/>
  <c r="AC73" i="10" l="1"/>
  <c r="AF44" i="10"/>
  <c r="AD38" i="10"/>
  <c r="AD44" i="10"/>
  <c r="AB37" i="10"/>
  <c r="AD42" i="10"/>
  <c r="AD39" i="10" s="1"/>
  <c r="AF38" i="10"/>
  <c r="AE39" i="10"/>
  <c r="AB42" i="10"/>
  <c r="AB33" i="10"/>
  <c r="AE38" i="10"/>
  <c r="AF42" i="10"/>
  <c r="AF39" i="10" s="1"/>
  <c r="AD37" i="10"/>
  <c r="AB46" i="10"/>
  <c r="AB34" i="10"/>
  <c r="AB38" i="10"/>
  <c r="AF37" i="10"/>
  <c r="S50" i="10"/>
  <c r="S49" i="10" s="1"/>
  <c r="S48" i="10" s="1"/>
  <c r="S31" i="10" s="1"/>
  <c r="S72" i="10" s="1"/>
  <c r="AB45" i="10"/>
  <c r="AE44" i="10"/>
  <c r="AB41" i="10"/>
  <c r="AB59" i="10"/>
  <c r="AE37" i="10"/>
  <c r="AD54" i="10"/>
  <c r="AB58" i="10"/>
  <c r="AF58" i="10"/>
  <c r="AF57" i="10" s="1"/>
  <c r="AE50" i="10"/>
  <c r="AE58" i="10"/>
  <c r="AE57" i="10" s="1"/>
  <c r="AD50" i="10"/>
  <c r="AF53" i="10"/>
  <c r="AB53" i="10"/>
  <c r="AF50" i="10"/>
  <c r="AB61" i="10"/>
  <c r="AD58" i="10"/>
  <c r="AD57" i="10" s="1"/>
  <c r="AF61" i="10"/>
  <c r="AF60" i="10" s="1"/>
  <c r="AE54" i="10"/>
  <c r="AE51" i="10"/>
  <c r="AE55" i="10"/>
  <c r="AF51" i="10"/>
  <c r="AF54" i="10"/>
  <c r="AB54" i="10"/>
  <c r="AD51" i="10"/>
  <c r="AB63" i="10"/>
  <c r="AB50" i="10"/>
  <c r="V102" i="10" l="1"/>
  <c r="Y102" i="10"/>
  <c r="S73" i="10"/>
  <c r="S102" i="10"/>
  <c r="AD36" i="10"/>
  <c r="AD35" i="10" s="1"/>
  <c r="AB36" i="10"/>
  <c r="AF49" i="10"/>
  <c r="AD49" i="10"/>
  <c r="AB57" i="10"/>
  <c r="AE36" i="10"/>
  <c r="AE35" i="10" s="1"/>
  <c r="AF56" i="10"/>
  <c r="AB51" i="10"/>
  <c r="AB49" i="10" s="1"/>
  <c r="AE61" i="10"/>
  <c r="AE60" i="10" s="1"/>
  <c r="AE56" i="10" s="1"/>
  <c r="AB44" i="10"/>
  <c r="AE53" i="10"/>
  <c r="AE52" i="10" s="1"/>
  <c r="AB52" i="10"/>
  <c r="AF52" i="10"/>
  <c r="AB39" i="10"/>
  <c r="AF36" i="10"/>
  <c r="AF35" i="10" s="1"/>
  <c r="AD61" i="10"/>
  <c r="AD60" i="10" s="1"/>
  <c r="AD56" i="10" s="1"/>
  <c r="AB60" i="10"/>
  <c r="AD53" i="10"/>
  <c r="AD52" i="10" s="1"/>
  <c r="AE49" i="10"/>
  <c r="AF43" i="10"/>
  <c r="AE43" i="10"/>
  <c r="AD43" i="10"/>
  <c r="AF71" i="10"/>
  <c r="AE71" i="10"/>
  <c r="AD71" i="10"/>
  <c r="AB66" i="10"/>
  <c r="AB70" i="10"/>
  <c r="AB68" i="10" s="1"/>
  <c r="AB48" i="10" l="1"/>
  <c r="AF48" i="10"/>
  <c r="AD48" i="10"/>
  <c r="AB56" i="10"/>
  <c r="AB35" i="10"/>
  <c r="AE32" i="10"/>
  <c r="AE48" i="10"/>
  <c r="AF32" i="10"/>
  <c r="AF31" i="10" s="1"/>
  <c r="AD32" i="10"/>
  <c r="AB71" i="10"/>
  <c r="AD31" i="10" l="1"/>
  <c r="AE31" i="10"/>
  <c r="AB43" i="10"/>
  <c r="AB32" i="10" s="1"/>
  <c r="AB31" i="10" s="1"/>
  <c r="AB67" i="10" l="1"/>
  <c r="AB65" i="10" s="1"/>
  <c r="AB64" i="10" s="1"/>
  <c r="AB72" i="10" l="1"/>
  <c r="AB103" i="10"/>
  <c r="AD70" i="10"/>
  <c r="AB73" i="10" l="1"/>
  <c r="AB102" i="10"/>
  <c r="AF66" i="10"/>
  <c r="AD69" i="10"/>
  <c r="AD68" i="10" s="1"/>
  <c r="AF70" i="10"/>
  <c r="AE70" i="10"/>
  <c r="AE66" i="10" l="1"/>
  <c r="AD66" i="10"/>
  <c r="AF69" i="10" l="1"/>
  <c r="AF68" i="10" s="1"/>
  <c r="AE69" i="10" l="1"/>
  <c r="AE68" i="10" s="1"/>
  <c r="AF67" i="10" l="1"/>
  <c r="AF65" i="10" s="1"/>
  <c r="AF64" i="10" s="1"/>
  <c r="AF72" i="10" s="1"/>
  <c r="AF73" i="10" s="1"/>
  <c r="AE67" i="10" l="1"/>
  <c r="AE65" i="10" s="1"/>
  <c r="AE64" i="10" s="1"/>
  <c r="AE72" i="10" s="1"/>
  <c r="AE73" i="10" s="1"/>
  <c r="AD67" i="10"/>
  <c r="AD65" i="10" s="1"/>
  <c r="AD64" i="10" s="1"/>
  <c r="AD72" i="10" l="1"/>
  <c r="AH103" i="10"/>
  <c r="AE103" i="10"/>
  <c r="AC29" i="10"/>
  <c r="R29" i="10"/>
  <c r="S29" i="10" s="1"/>
  <c r="L7" i="10"/>
  <c r="M6" i="10" s="1"/>
  <c r="I7" i="10"/>
  <c r="Q8" i="10"/>
  <c r="AH16" i="10"/>
  <c r="AG16" i="10"/>
  <c r="AF16" i="10"/>
  <c r="AE16" i="10"/>
  <c r="AD16" i="10"/>
  <c r="AC16" i="10"/>
  <c r="AB16" i="10"/>
  <c r="AA16" i="10"/>
  <c r="Z16" i="10"/>
  <c r="Y16" i="10"/>
  <c r="X16" i="10"/>
  <c r="W16" i="10"/>
  <c r="V16" i="10"/>
  <c r="U16" i="10"/>
  <c r="T16" i="10"/>
  <c r="S16" i="10"/>
  <c r="R16" i="10"/>
  <c r="AH15" i="10"/>
  <c r="AG15" i="10"/>
  <c r="AF15" i="10"/>
  <c r="AE15" i="10"/>
  <c r="AD15" i="10"/>
  <c r="AC15" i="10"/>
  <c r="AB15" i="10"/>
  <c r="AA15" i="10"/>
  <c r="Z15" i="10"/>
  <c r="Y15" i="10"/>
  <c r="X15" i="10"/>
  <c r="W15" i="10"/>
  <c r="V15" i="10"/>
  <c r="U15" i="10"/>
  <c r="T15" i="10"/>
  <c r="S15" i="10"/>
  <c r="R15" i="10"/>
  <c r="Q25" i="10"/>
  <c r="Q21" i="10" s="1"/>
  <c r="Q100" i="10" s="1"/>
  <c r="Q24" i="10"/>
  <c r="Q23" i="10"/>
  <c r="Q16" i="10"/>
  <c r="Q15" i="10"/>
  <c r="J6" i="10" l="1"/>
  <c r="AD73" i="10"/>
  <c r="AH102" i="10"/>
  <c r="AE102" i="10"/>
  <c r="M7" i="10"/>
  <c r="N6" i="10" s="1"/>
  <c r="AD29" i="10"/>
  <c r="J7" i="10"/>
  <c r="K6" i="10" s="1"/>
  <c r="AE29" i="10"/>
  <c r="T29" i="10"/>
  <c r="Q20" i="10"/>
  <c r="Q99" i="10" s="1"/>
  <c r="K7" i="10" l="1"/>
  <c r="N7" i="10"/>
  <c r="O6" i="10" s="1"/>
  <c r="U29" i="10"/>
  <c r="AF29" i="10"/>
  <c r="L6" i="10" l="1"/>
  <c r="O7" i="10"/>
  <c r="AG29" i="10"/>
  <c r="V29" i="10"/>
  <c r="W29" i="10" l="1"/>
  <c r="AH29" i="10"/>
  <c r="X29" i="10" l="1"/>
  <c r="AI29" i="10"/>
  <c r="Y29" i="10" l="1"/>
  <c r="AJ29" i="10"/>
  <c r="AK29" i="10" l="1"/>
  <c r="Z29" i="10"/>
  <c r="AA29" i="10" l="1"/>
  <c r="AL29" i="10"/>
  <c r="AM29" i="10" l="1"/>
  <c r="AB29" i="10"/>
  <c r="AN29" i="10" s="1"/>
  <c r="Q14" i="10" l="1"/>
  <c r="Q13" i="10"/>
  <c r="J546" i="9"/>
  <c r="J545" i="9"/>
  <c r="J519" i="9"/>
  <c r="J513" i="9"/>
  <c r="J512" i="9"/>
  <c r="J490" i="9"/>
  <c r="J485" i="9"/>
  <c r="J484" i="9"/>
  <c r="J471" i="9"/>
  <c r="J458" i="9"/>
  <c r="J453" i="9"/>
  <c r="J452" i="9"/>
  <c r="J425" i="9"/>
  <c r="J420" i="9"/>
  <c r="J419" i="9"/>
  <c r="J393" i="9"/>
  <c r="J390" i="9"/>
  <c r="J389" i="9"/>
  <c r="J365" i="9"/>
  <c r="J360" i="9"/>
  <c r="J359" i="9"/>
  <c r="J334" i="9"/>
  <c r="J328" i="9"/>
  <c r="J327" i="9"/>
  <c r="J304" i="9"/>
  <c r="J299" i="9"/>
  <c r="J298" i="9"/>
  <c r="J270" i="9"/>
  <c r="J267" i="9"/>
  <c r="J266" i="9"/>
  <c r="J240" i="9"/>
  <c r="J235" i="9"/>
  <c r="J234" i="9"/>
  <c r="J211" i="9"/>
  <c r="J208" i="9"/>
  <c r="J207" i="9"/>
  <c r="J182" i="9"/>
  <c r="J177" i="9"/>
  <c r="J176" i="9"/>
  <c r="J152" i="9"/>
  <c r="J147" i="9"/>
  <c r="J146" i="9"/>
  <c r="J125" i="9"/>
  <c r="J121" i="9"/>
  <c r="J120" i="9"/>
  <c r="J95" i="9"/>
  <c r="J91" i="9"/>
  <c r="J90" i="9"/>
  <c r="J61" i="9"/>
  <c r="J57" i="9"/>
  <c r="J56" i="9"/>
  <c r="J31" i="9"/>
  <c r="J27" i="9"/>
  <c r="J26" i="9"/>
  <c r="J2" i="9"/>
  <c r="I2" i="9"/>
  <c r="I550" i="9"/>
  <c r="J550" i="9" s="1"/>
  <c r="I549" i="9"/>
  <c r="J549" i="9" s="1"/>
  <c r="I548" i="9"/>
  <c r="J548" i="9" s="1"/>
  <c r="I547" i="9"/>
  <c r="J547" i="9" s="1"/>
  <c r="I546" i="9"/>
  <c r="I545" i="9"/>
  <c r="I544" i="9"/>
  <c r="J544" i="9" s="1"/>
  <c r="I543" i="9"/>
  <c r="J543" i="9" s="1"/>
  <c r="I542" i="9"/>
  <c r="J542" i="9" s="1"/>
  <c r="I541" i="9"/>
  <c r="J541" i="9" s="1"/>
  <c r="I540" i="9"/>
  <c r="J540" i="9" s="1"/>
  <c r="I539" i="9"/>
  <c r="J539" i="9" s="1"/>
  <c r="I538" i="9"/>
  <c r="J538" i="9" s="1"/>
  <c r="I537" i="9"/>
  <c r="J537" i="9" s="1"/>
  <c r="I536" i="9"/>
  <c r="J536" i="9" s="1"/>
  <c r="I535" i="9"/>
  <c r="J535" i="9" s="1"/>
  <c r="I534" i="9"/>
  <c r="J534" i="9" s="1"/>
  <c r="I533" i="9"/>
  <c r="J533" i="9" s="1"/>
  <c r="I532" i="9"/>
  <c r="J532" i="9" s="1"/>
  <c r="I531" i="9"/>
  <c r="J531" i="9" s="1"/>
  <c r="I530" i="9"/>
  <c r="J530" i="9" s="1"/>
  <c r="I529" i="9"/>
  <c r="J529" i="9" s="1"/>
  <c r="I528" i="9"/>
  <c r="J528" i="9" s="1"/>
  <c r="I527" i="9"/>
  <c r="J527" i="9" s="1"/>
  <c r="I526" i="9"/>
  <c r="J526" i="9" s="1"/>
  <c r="I525" i="9"/>
  <c r="J525" i="9" s="1"/>
  <c r="I524" i="9"/>
  <c r="J524" i="9" s="1"/>
  <c r="I523" i="9"/>
  <c r="J523" i="9" s="1"/>
  <c r="I522" i="9"/>
  <c r="J522" i="9" s="1"/>
  <c r="I521" i="9"/>
  <c r="J521" i="9" s="1"/>
  <c r="I520" i="9"/>
  <c r="J520" i="9" s="1"/>
  <c r="I519" i="9"/>
  <c r="I518" i="9"/>
  <c r="J518" i="9" s="1"/>
  <c r="I517" i="9"/>
  <c r="J517" i="9" s="1"/>
  <c r="I516" i="9"/>
  <c r="J516" i="9" s="1"/>
  <c r="I515" i="9"/>
  <c r="J515" i="9" s="1"/>
  <c r="I514" i="9"/>
  <c r="J514" i="9" s="1"/>
  <c r="I513" i="9"/>
  <c r="I512" i="9"/>
  <c r="I511" i="9"/>
  <c r="J511" i="9" s="1"/>
  <c r="I510" i="9"/>
  <c r="J510" i="9" s="1"/>
  <c r="I509" i="9"/>
  <c r="J509" i="9" s="1"/>
  <c r="I508" i="9"/>
  <c r="J508" i="9" s="1"/>
  <c r="I507" i="9"/>
  <c r="J507" i="9" s="1"/>
  <c r="I506" i="9"/>
  <c r="J506" i="9" s="1"/>
  <c r="I505" i="9"/>
  <c r="J505" i="9" s="1"/>
  <c r="I504" i="9"/>
  <c r="J504" i="9" s="1"/>
  <c r="I503" i="9"/>
  <c r="J503" i="9" s="1"/>
  <c r="I502" i="9"/>
  <c r="J502" i="9" s="1"/>
  <c r="I501" i="9"/>
  <c r="J501" i="9" s="1"/>
  <c r="I500" i="9"/>
  <c r="J500" i="9" s="1"/>
  <c r="I499" i="9"/>
  <c r="J499" i="9" s="1"/>
  <c r="I498" i="9"/>
  <c r="J498" i="9" s="1"/>
  <c r="I497" i="9"/>
  <c r="J497" i="9" s="1"/>
  <c r="I496" i="9"/>
  <c r="J496" i="9" s="1"/>
  <c r="I495" i="9"/>
  <c r="J495" i="9" s="1"/>
  <c r="I494" i="9"/>
  <c r="J494" i="9" s="1"/>
  <c r="I493" i="9"/>
  <c r="J493" i="9" s="1"/>
  <c r="I492" i="9"/>
  <c r="J492" i="9" s="1"/>
  <c r="I491" i="9"/>
  <c r="J491" i="9" s="1"/>
  <c r="I490" i="9"/>
  <c r="I489" i="9"/>
  <c r="J489" i="9" s="1"/>
  <c r="I488" i="9"/>
  <c r="J488" i="9" s="1"/>
  <c r="I487" i="9"/>
  <c r="J487" i="9" s="1"/>
  <c r="I486" i="9"/>
  <c r="J486" i="9" s="1"/>
  <c r="I485" i="9"/>
  <c r="I484" i="9"/>
  <c r="I483" i="9"/>
  <c r="J483" i="9" s="1"/>
  <c r="I482" i="9"/>
  <c r="J482" i="9" s="1"/>
  <c r="I481" i="9"/>
  <c r="J481" i="9" s="1"/>
  <c r="I480" i="9"/>
  <c r="J480" i="9" s="1"/>
  <c r="I479" i="9"/>
  <c r="J479" i="9" s="1"/>
  <c r="I478" i="9"/>
  <c r="J478" i="9" s="1"/>
  <c r="I477" i="9"/>
  <c r="J477" i="9" s="1"/>
  <c r="I476" i="9"/>
  <c r="J476" i="9" s="1"/>
  <c r="I475" i="9"/>
  <c r="J475" i="9" s="1"/>
  <c r="I474" i="9"/>
  <c r="J474" i="9" s="1"/>
  <c r="I473" i="9"/>
  <c r="J473" i="9" s="1"/>
  <c r="I472" i="9"/>
  <c r="J472" i="9" s="1"/>
  <c r="I471" i="9"/>
  <c r="I470" i="9"/>
  <c r="J470" i="9" s="1"/>
  <c r="I469" i="9"/>
  <c r="J469" i="9" s="1"/>
  <c r="I468" i="9"/>
  <c r="J468" i="9" s="1"/>
  <c r="I467" i="9"/>
  <c r="J467" i="9" s="1"/>
  <c r="I466" i="9"/>
  <c r="J466" i="9" s="1"/>
  <c r="I465" i="9"/>
  <c r="J465" i="9" s="1"/>
  <c r="I464" i="9"/>
  <c r="J464" i="9" s="1"/>
  <c r="I463" i="9"/>
  <c r="J463" i="9" s="1"/>
  <c r="I462" i="9"/>
  <c r="J462" i="9" s="1"/>
  <c r="I461" i="9"/>
  <c r="J461" i="9" s="1"/>
  <c r="I460" i="9"/>
  <c r="J460" i="9" s="1"/>
  <c r="I459" i="9"/>
  <c r="J459" i="9" s="1"/>
  <c r="I458" i="9"/>
  <c r="I457" i="9"/>
  <c r="J457" i="9" s="1"/>
  <c r="I456" i="9"/>
  <c r="J456" i="9" s="1"/>
  <c r="I455" i="9"/>
  <c r="J455" i="9" s="1"/>
  <c r="I454" i="9"/>
  <c r="J454" i="9" s="1"/>
  <c r="I453" i="9"/>
  <c r="I452" i="9"/>
  <c r="I451" i="9"/>
  <c r="J451" i="9" s="1"/>
  <c r="I450" i="9"/>
  <c r="J450" i="9" s="1"/>
  <c r="I449" i="9"/>
  <c r="J449" i="9" s="1"/>
  <c r="I448" i="9"/>
  <c r="J448" i="9" s="1"/>
  <c r="I447" i="9"/>
  <c r="J447" i="9" s="1"/>
  <c r="I446" i="9"/>
  <c r="J446" i="9" s="1"/>
  <c r="I445" i="9"/>
  <c r="J445" i="9" s="1"/>
  <c r="I444" i="9"/>
  <c r="J444" i="9" s="1"/>
  <c r="I443" i="9"/>
  <c r="J443" i="9" s="1"/>
  <c r="I442" i="9"/>
  <c r="J442" i="9" s="1"/>
  <c r="I441" i="9"/>
  <c r="J441" i="9" s="1"/>
  <c r="I440" i="9"/>
  <c r="J440" i="9" s="1"/>
  <c r="I439" i="9"/>
  <c r="J439" i="9" s="1"/>
  <c r="I438" i="9"/>
  <c r="J438" i="9" s="1"/>
  <c r="I437" i="9"/>
  <c r="J437" i="9" s="1"/>
  <c r="I436" i="9"/>
  <c r="J436" i="9" s="1"/>
  <c r="I435" i="9"/>
  <c r="J435" i="9" s="1"/>
  <c r="I434" i="9"/>
  <c r="J434" i="9" s="1"/>
  <c r="I433" i="9"/>
  <c r="J433" i="9" s="1"/>
  <c r="I432" i="9"/>
  <c r="J432" i="9" s="1"/>
  <c r="I431" i="9"/>
  <c r="J431" i="9" s="1"/>
  <c r="I430" i="9"/>
  <c r="J430" i="9" s="1"/>
  <c r="I429" i="9"/>
  <c r="J429" i="9" s="1"/>
  <c r="I428" i="9"/>
  <c r="J428" i="9" s="1"/>
  <c r="I427" i="9"/>
  <c r="J427" i="9" s="1"/>
  <c r="I426" i="9"/>
  <c r="J426" i="9" s="1"/>
  <c r="I425" i="9"/>
  <c r="I424" i="9"/>
  <c r="J424" i="9" s="1"/>
  <c r="I423" i="9"/>
  <c r="J423" i="9" s="1"/>
  <c r="I422" i="9"/>
  <c r="J422" i="9" s="1"/>
  <c r="I421" i="9"/>
  <c r="J421" i="9" s="1"/>
  <c r="I420" i="9"/>
  <c r="I419" i="9"/>
  <c r="I418" i="9"/>
  <c r="J418" i="9" s="1"/>
  <c r="I417" i="9"/>
  <c r="J417" i="9" s="1"/>
  <c r="I416" i="9"/>
  <c r="J416" i="9" s="1"/>
  <c r="I415" i="9"/>
  <c r="J415" i="9" s="1"/>
  <c r="I414" i="9"/>
  <c r="J414" i="9" s="1"/>
  <c r="I413" i="9"/>
  <c r="J413" i="9" s="1"/>
  <c r="I412" i="9"/>
  <c r="J412" i="9" s="1"/>
  <c r="I411" i="9"/>
  <c r="J411" i="9" s="1"/>
  <c r="I410" i="9"/>
  <c r="J410" i="9" s="1"/>
  <c r="I409" i="9"/>
  <c r="J409" i="9" s="1"/>
  <c r="I408" i="9"/>
  <c r="J408" i="9" s="1"/>
  <c r="I407" i="9"/>
  <c r="J407" i="9" s="1"/>
  <c r="I406" i="9"/>
  <c r="J406" i="9" s="1"/>
  <c r="I405" i="9"/>
  <c r="J405" i="9" s="1"/>
  <c r="I404" i="9"/>
  <c r="J404" i="9" s="1"/>
  <c r="I403" i="9"/>
  <c r="J403" i="9" s="1"/>
  <c r="I402" i="9"/>
  <c r="J402" i="9" s="1"/>
  <c r="I401" i="9"/>
  <c r="J401" i="9" s="1"/>
  <c r="I400" i="9"/>
  <c r="J400" i="9" s="1"/>
  <c r="I399" i="9"/>
  <c r="J399" i="9" s="1"/>
  <c r="I398" i="9"/>
  <c r="J398" i="9" s="1"/>
  <c r="I397" i="9"/>
  <c r="J397" i="9" s="1"/>
  <c r="I396" i="9"/>
  <c r="J396" i="9" s="1"/>
  <c r="I395" i="9"/>
  <c r="J395" i="9" s="1"/>
  <c r="I394" i="9"/>
  <c r="J394" i="9" s="1"/>
  <c r="I393" i="9"/>
  <c r="I392" i="9"/>
  <c r="J392" i="9" s="1"/>
  <c r="I391" i="9"/>
  <c r="J391" i="9" s="1"/>
  <c r="I390" i="9"/>
  <c r="I389" i="9"/>
  <c r="I388" i="9"/>
  <c r="J388" i="9" s="1"/>
  <c r="I387" i="9"/>
  <c r="J387" i="9" s="1"/>
  <c r="I386" i="9"/>
  <c r="J386" i="9" s="1"/>
  <c r="I385" i="9"/>
  <c r="J385" i="9" s="1"/>
  <c r="I384" i="9"/>
  <c r="J384" i="9" s="1"/>
  <c r="I383" i="9"/>
  <c r="J383" i="9" s="1"/>
  <c r="I382" i="9"/>
  <c r="J382" i="9" s="1"/>
  <c r="I381" i="9"/>
  <c r="J381" i="9" s="1"/>
  <c r="I380" i="9"/>
  <c r="J380" i="9" s="1"/>
  <c r="I379" i="9"/>
  <c r="J379" i="9" s="1"/>
  <c r="I378" i="9"/>
  <c r="J378" i="9" s="1"/>
  <c r="I377" i="9"/>
  <c r="J377" i="9" s="1"/>
  <c r="I376" i="9"/>
  <c r="J376" i="9" s="1"/>
  <c r="I375" i="9"/>
  <c r="J375" i="9" s="1"/>
  <c r="I374" i="9"/>
  <c r="J374" i="9" s="1"/>
  <c r="I373" i="9"/>
  <c r="J373" i="9" s="1"/>
  <c r="I372" i="9"/>
  <c r="J372" i="9" s="1"/>
  <c r="I371" i="9"/>
  <c r="J371" i="9" s="1"/>
  <c r="I370" i="9"/>
  <c r="J370" i="9" s="1"/>
  <c r="I369" i="9"/>
  <c r="J369" i="9" s="1"/>
  <c r="I368" i="9"/>
  <c r="J368" i="9" s="1"/>
  <c r="I367" i="9"/>
  <c r="J367" i="9" s="1"/>
  <c r="I366" i="9"/>
  <c r="J366" i="9" s="1"/>
  <c r="I365" i="9"/>
  <c r="I364" i="9"/>
  <c r="J364" i="9" s="1"/>
  <c r="I363" i="9"/>
  <c r="J363" i="9" s="1"/>
  <c r="I362" i="9"/>
  <c r="J362" i="9" s="1"/>
  <c r="I361" i="9"/>
  <c r="J361" i="9" s="1"/>
  <c r="I360" i="9"/>
  <c r="I359" i="9"/>
  <c r="I358" i="9"/>
  <c r="J358" i="9" s="1"/>
  <c r="I357" i="9"/>
  <c r="J357" i="9" s="1"/>
  <c r="I356" i="9"/>
  <c r="J356" i="9" s="1"/>
  <c r="I355" i="9"/>
  <c r="J355" i="9" s="1"/>
  <c r="I354" i="9"/>
  <c r="J354" i="9" s="1"/>
  <c r="I353" i="9"/>
  <c r="J353" i="9" s="1"/>
  <c r="I352" i="9"/>
  <c r="J352" i="9" s="1"/>
  <c r="I351" i="9"/>
  <c r="J351" i="9" s="1"/>
  <c r="I350" i="9"/>
  <c r="J350" i="9" s="1"/>
  <c r="I349" i="9"/>
  <c r="J349" i="9" s="1"/>
  <c r="I348" i="9"/>
  <c r="J348" i="9" s="1"/>
  <c r="I347" i="9"/>
  <c r="J347" i="9" s="1"/>
  <c r="I346" i="9"/>
  <c r="J346" i="9" s="1"/>
  <c r="I345" i="9"/>
  <c r="J345" i="9" s="1"/>
  <c r="I344" i="9"/>
  <c r="J344" i="9" s="1"/>
  <c r="I343" i="9"/>
  <c r="J343" i="9" s="1"/>
  <c r="I342" i="9"/>
  <c r="J342" i="9" s="1"/>
  <c r="I341" i="9"/>
  <c r="J341" i="9" s="1"/>
  <c r="I340" i="9"/>
  <c r="J340" i="9" s="1"/>
  <c r="I339" i="9"/>
  <c r="J339" i="9" s="1"/>
  <c r="I338" i="9"/>
  <c r="J338" i="9" s="1"/>
  <c r="I337" i="9"/>
  <c r="J337" i="9" s="1"/>
  <c r="I336" i="9"/>
  <c r="J336" i="9" s="1"/>
  <c r="I335" i="9"/>
  <c r="J335" i="9" s="1"/>
  <c r="I334" i="9"/>
  <c r="I333" i="9"/>
  <c r="J333" i="9" s="1"/>
  <c r="I332" i="9"/>
  <c r="J332" i="9" s="1"/>
  <c r="I331" i="9"/>
  <c r="J331" i="9" s="1"/>
  <c r="I330" i="9"/>
  <c r="J330" i="9" s="1"/>
  <c r="I329" i="9"/>
  <c r="J329" i="9" s="1"/>
  <c r="I328" i="9"/>
  <c r="I327" i="9"/>
  <c r="I326" i="9"/>
  <c r="J326" i="9" s="1"/>
  <c r="I325" i="9"/>
  <c r="J325" i="9" s="1"/>
  <c r="I324" i="9"/>
  <c r="J324" i="9" s="1"/>
  <c r="I323" i="9"/>
  <c r="J323" i="9" s="1"/>
  <c r="I322" i="9"/>
  <c r="J322" i="9" s="1"/>
  <c r="I321" i="9"/>
  <c r="J321" i="9" s="1"/>
  <c r="I320" i="9"/>
  <c r="J320" i="9" s="1"/>
  <c r="I319" i="9"/>
  <c r="J319" i="9" s="1"/>
  <c r="I318" i="9"/>
  <c r="J318" i="9" s="1"/>
  <c r="I317" i="9"/>
  <c r="J317" i="9" s="1"/>
  <c r="I316" i="9"/>
  <c r="J316" i="9" s="1"/>
  <c r="I315" i="9"/>
  <c r="J315" i="9" s="1"/>
  <c r="I314" i="9"/>
  <c r="J314" i="9" s="1"/>
  <c r="I313" i="9"/>
  <c r="J313" i="9" s="1"/>
  <c r="I312" i="9"/>
  <c r="J312" i="9" s="1"/>
  <c r="I311" i="9"/>
  <c r="J311" i="9" s="1"/>
  <c r="I310" i="9"/>
  <c r="J310" i="9" s="1"/>
  <c r="I309" i="9"/>
  <c r="J309" i="9" s="1"/>
  <c r="I308" i="9"/>
  <c r="J308" i="9" s="1"/>
  <c r="I307" i="9"/>
  <c r="J307" i="9" s="1"/>
  <c r="I306" i="9"/>
  <c r="J306" i="9" s="1"/>
  <c r="I305" i="9"/>
  <c r="J305" i="9" s="1"/>
  <c r="I304" i="9"/>
  <c r="I303" i="9"/>
  <c r="J303" i="9" s="1"/>
  <c r="I302" i="9"/>
  <c r="J302" i="9" s="1"/>
  <c r="I301" i="9"/>
  <c r="J301" i="9" s="1"/>
  <c r="I300" i="9"/>
  <c r="J300" i="9" s="1"/>
  <c r="I299" i="9"/>
  <c r="I298" i="9"/>
  <c r="I297" i="9"/>
  <c r="J297" i="9" s="1"/>
  <c r="I296" i="9"/>
  <c r="J296" i="9" s="1"/>
  <c r="I295" i="9"/>
  <c r="J295" i="9" s="1"/>
  <c r="I294" i="9"/>
  <c r="J294" i="9" s="1"/>
  <c r="I293" i="9"/>
  <c r="J293" i="9" s="1"/>
  <c r="I292" i="9"/>
  <c r="J292" i="9" s="1"/>
  <c r="I291" i="9"/>
  <c r="J291" i="9" s="1"/>
  <c r="I290" i="9"/>
  <c r="J290" i="9" s="1"/>
  <c r="I289" i="9"/>
  <c r="J289" i="9" s="1"/>
  <c r="I288" i="9"/>
  <c r="J288" i="9" s="1"/>
  <c r="I287" i="9"/>
  <c r="J287" i="9" s="1"/>
  <c r="I286" i="9"/>
  <c r="J286" i="9" s="1"/>
  <c r="I285" i="9"/>
  <c r="J285" i="9" s="1"/>
  <c r="I284" i="9"/>
  <c r="J284" i="9" s="1"/>
  <c r="I283" i="9"/>
  <c r="J283" i="9" s="1"/>
  <c r="I282" i="9"/>
  <c r="J282" i="9" s="1"/>
  <c r="I281" i="9"/>
  <c r="J281" i="9" s="1"/>
  <c r="I280" i="9"/>
  <c r="J280" i="9" s="1"/>
  <c r="I279" i="9"/>
  <c r="J279" i="9" s="1"/>
  <c r="I278" i="9"/>
  <c r="J278" i="9" s="1"/>
  <c r="I277" i="9"/>
  <c r="J277" i="9" s="1"/>
  <c r="I276" i="9"/>
  <c r="J276" i="9" s="1"/>
  <c r="I275" i="9"/>
  <c r="J275" i="9" s="1"/>
  <c r="I274" i="9"/>
  <c r="J274" i="9" s="1"/>
  <c r="I273" i="9"/>
  <c r="J273" i="9" s="1"/>
  <c r="I272" i="9"/>
  <c r="J272" i="9" s="1"/>
  <c r="I271" i="9"/>
  <c r="J271" i="9" s="1"/>
  <c r="I270" i="9"/>
  <c r="I269" i="9"/>
  <c r="J269" i="9" s="1"/>
  <c r="I268" i="9"/>
  <c r="J268" i="9" s="1"/>
  <c r="I267" i="9"/>
  <c r="I266" i="9"/>
  <c r="I265" i="9"/>
  <c r="J265" i="9" s="1"/>
  <c r="I264" i="9"/>
  <c r="J264" i="9" s="1"/>
  <c r="I263" i="9"/>
  <c r="J263" i="9" s="1"/>
  <c r="I262" i="9"/>
  <c r="J262" i="9" s="1"/>
  <c r="I261" i="9"/>
  <c r="J261" i="9" s="1"/>
  <c r="I260" i="9"/>
  <c r="J260" i="9" s="1"/>
  <c r="I259" i="9"/>
  <c r="J259" i="9" s="1"/>
  <c r="I258" i="9"/>
  <c r="J258" i="9" s="1"/>
  <c r="I257" i="9"/>
  <c r="J257" i="9" s="1"/>
  <c r="I256" i="9"/>
  <c r="J256" i="9" s="1"/>
  <c r="I255" i="9"/>
  <c r="J255" i="9" s="1"/>
  <c r="I254" i="9"/>
  <c r="J254" i="9" s="1"/>
  <c r="I253" i="9"/>
  <c r="J253" i="9" s="1"/>
  <c r="I252" i="9"/>
  <c r="J252" i="9" s="1"/>
  <c r="I251" i="9"/>
  <c r="J251" i="9" s="1"/>
  <c r="I250" i="9"/>
  <c r="J250" i="9" s="1"/>
  <c r="I249" i="9"/>
  <c r="J249" i="9" s="1"/>
  <c r="I248" i="9"/>
  <c r="J248" i="9" s="1"/>
  <c r="I247" i="9"/>
  <c r="J247" i="9" s="1"/>
  <c r="I246" i="9"/>
  <c r="J246" i="9" s="1"/>
  <c r="I245" i="9"/>
  <c r="J245" i="9" s="1"/>
  <c r="I244" i="9"/>
  <c r="J244" i="9" s="1"/>
  <c r="I243" i="9"/>
  <c r="J243" i="9" s="1"/>
  <c r="I242" i="9"/>
  <c r="J242" i="9" s="1"/>
  <c r="I241" i="9"/>
  <c r="J241" i="9" s="1"/>
  <c r="I240" i="9"/>
  <c r="I239" i="9"/>
  <c r="J239" i="9" s="1"/>
  <c r="I238" i="9"/>
  <c r="J238" i="9" s="1"/>
  <c r="I237" i="9"/>
  <c r="J237" i="9" s="1"/>
  <c r="I236" i="9"/>
  <c r="J236" i="9" s="1"/>
  <c r="I235" i="9"/>
  <c r="I234" i="9"/>
  <c r="I233" i="9"/>
  <c r="J233" i="9" s="1"/>
  <c r="I232" i="9"/>
  <c r="J232" i="9" s="1"/>
  <c r="I231" i="9"/>
  <c r="J231" i="9" s="1"/>
  <c r="I230" i="9"/>
  <c r="J230" i="9" s="1"/>
  <c r="I229" i="9"/>
  <c r="J229" i="9" s="1"/>
  <c r="I228" i="9"/>
  <c r="J228" i="9" s="1"/>
  <c r="I227" i="9"/>
  <c r="J227" i="9" s="1"/>
  <c r="I226" i="9"/>
  <c r="J226" i="9" s="1"/>
  <c r="I225" i="9"/>
  <c r="J225" i="9" s="1"/>
  <c r="I224" i="9"/>
  <c r="J224" i="9" s="1"/>
  <c r="I223" i="9"/>
  <c r="J223" i="9" s="1"/>
  <c r="I222" i="9"/>
  <c r="J222" i="9" s="1"/>
  <c r="I221" i="9"/>
  <c r="J221" i="9" s="1"/>
  <c r="I220" i="9"/>
  <c r="J220" i="9" s="1"/>
  <c r="I219" i="9"/>
  <c r="J219" i="9" s="1"/>
  <c r="I218" i="9"/>
  <c r="J218" i="9" s="1"/>
  <c r="I217" i="9"/>
  <c r="J217" i="9" s="1"/>
  <c r="I216" i="9"/>
  <c r="J216" i="9" s="1"/>
  <c r="I215" i="9"/>
  <c r="J215" i="9" s="1"/>
  <c r="I214" i="9"/>
  <c r="J214" i="9" s="1"/>
  <c r="I213" i="9"/>
  <c r="J213" i="9" s="1"/>
  <c r="I212" i="9"/>
  <c r="J212" i="9" s="1"/>
  <c r="I211" i="9"/>
  <c r="I210" i="9"/>
  <c r="J210" i="9" s="1"/>
  <c r="I209" i="9"/>
  <c r="J209" i="9" s="1"/>
  <c r="I208" i="9"/>
  <c r="I207" i="9"/>
  <c r="I206" i="9"/>
  <c r="J206" i="9" s="1"/>
  <c r="I205" i="9"/>
  <c r="J205" i="9" s="1"/>
  <c r="I204" i="9"/>
  <c r="J204" i="9" s="1"/>
  <c r="I203" i="9"/>
  <c r="J203" i="9" s="1"/>
  <c r="I202" i="9"/>
  <c r="J202" i="9" s="1"/>
  <c r="I201" i="9"/>
  <c r="J201" i="9" s="1"/>
  <c r="I200" i="9"/>
  <c r="J200" i="9" s="1"/>
  <c r="I199" i="9"/>
  <c r="J199" i="9" s="1"/>
  <c r="I198" i="9"/>
  <c r="J198" i="9" s="1"/>
  <c r="I197" i="9"/>
  <c r="J197" i="9" s="1"/>
  <c r="I196" i="9"/>
  <c r="J196" i="9" s="1"/>
  <c r="I195" i="9"/>
  <c r="J195" i="9" s="1"/>
  <c r="I194" i="9"/>
  <c r="J194" i="9" s="1"/>
  <c r="I193" i="9"/>
  <c r="J193" i="9" s="1"/>
  <c r="I192" i="9"/>
  <c r="J192" i="9" s="1"/>
  <c r="I191" i="9"/>
  <c r="J191" i="9" s="1"/>
  <c r="I190" i="9"/>
  <c r="J190" i="9" s="1"/>
  <c r="I189" i="9"/>
  <c r="J189" i="9" s="1"/>
  <c r="I188" i="9"/>
  <c r="J188" i="9" s="1"/>
  <c r="I187" i="9"/>
  <c r="J187" i="9" s="1"/>
  <c r="I186" i="9"/>
  <c r="J186" i="9" s="1"/>
  <c r="I185" i="9"/>
  <c r="J185" i="9" s="1"/>
  <c r="I184" i="9"/>
  <c r="J184" i="9" s="1"/>
  <c r="I183" i="9"/>
  <c r="J183" i="9" s="1"/>
  <c r="I182" i="9"/>
  <c r="I181" i="9"/>
  <c r="J181" i="9" s="1"/>
  <c r="I180" i="9"/>
  <c r="J180" i="9" s="1"/>
  <c r="I179" i="9"/>
  <c r="J179" i="9" s="1"/>
  <c r="I178" i="9"/>
  <c r="J178" i="9" s="1"/>
  <c r="I177" i="9"/>
  <c r="I176" i="9"/>
  <c r="I175" i="9"/>
  <c r="J175" i="9" s="1"/>
  <c r="I174" i="9"/>
  <c r="J174" i="9" s="1"/>
  <c r="I173" i="9"/>
  <c r="J173" i="9" s="1"/>
  <c r="I172" i="9"/>
  <c r="J172" i="9" s="1"/>
  <c r="I171" i="9"/>
  <c r="J171" i="9" s="1"/>
  <c r="I170" i="9"/>
  <c r="J170" i="9" s="1"/>
  <c r="I169" i="9"/>
  <c r="J169" i="9" s="1"/>
  <c r="I168" i="9"/>
  <c r="J168" i="9" s="1"/>
  <c r="I167" i="9"/>
  <c r="J167" i="9" s="1"/>
  <c r="I166" i="9"/>
  <c r="J166" i="9" s="1"/>
  <c r="I165" i="9"/>
  <c r="J165" i="9" s="1"/>
  <c r="I164" i="9"/>
  <c r="J164" i="9" s="1"/>
  <c r="I163" i="9"/>
  <c r="J163" i="9" s="1"/>
  <c r="I162" i="9"/>
  <c r="J162" i="9" s="1"/>
  <c r="I161" i="9"/>
  <c r="J161" i="9" s="1"/>
  <c r="I160" i="9"/>
  <c r="J160" i="9" s="1"/>
  <c r="I159" i="9"/>
  <c r="J159" i="9" s="1"/>
  <c r="I158" i="9"/>
  <c r="J158" i="9" s="1"/>
  <c r="I157" i="9"/>
  <c r="J157" i="9" s="1"/>
  <c r="I156" i="9"/>
  <c r="J156" i="9" s="1"/>
  <c r="I155" i="9"/>
  <c r="J155" i="9" s="1"/>
  <c r="I154" i="9"/>
  <c r="J154" i="9" s="1"/>
  <c r="I153" i="9"/>
  <c r="J153" i="9" s="1"/>
  <c r="I152" i="9"/>
  <c r="I151" i="9"/>
  <c r="J151" i="9" s="1"/>
  <c r="I150" i="9"/>
  <c r="J150" i="9" s="1"/>
  <c r="I149" i="9"/>
  <c r="J149" i="9" s="1"/>
  <c r="I148" i="9"/>
  <c r="J148" i="9" s="1"/>
  <c r="I147" i="9"/>
  <c r="I146" i="9"/>
  <c r="I145" i="9"/>
  <c r="J145" i="9" s="1"/>
  <c r="I144" i="9"/>
  <c r="J144" i="9" s="1"/>
  <c r="I143" i="9"/>
  <c r="J143" i="9" s="1"/>
  <c r="I142" i="9"/>
  <c r="J142" i="9" s="1"/>
  <c r="I141" i="9"/>
  <c r="J141" i="9" s="1"/>
  <c r="I140" i="9"/>
  <c r="J140" i="9" s="1"/>
  <c r="I139" i="9"/>
  <c r="J139" i="9" s="1"/>
  <c r="I138" i="9"/>
  <c r="J138" i="9" s="1"/>
  <c r="I137" i="9"/>
  <c r="J137" i="9" s="1"/>
  <c r="I136" i="9"/>
  <c r="J136" i="9" s="1"/>
  <c r="I135" i="9"/>
  <c r="J135" i="9" s="1"/>
  <c r="I134" i="9"/>
  <c r="J134" i="9" s="1"/>
  <c r="I133" i="9"/>
  <c r="J133" i="9" s="1"/>
  <c r="I132" i="9"/>
  <c r="J132" i="9" s="1"/>
  <c r="I131" i="9"/>
  <c r="J131" i="9" s="1"/>
  <c r="I130" i="9"/>
  <c r="J130" i="9" s="1"/>
  <c r="I129" i="9"/>
  <c r="J129" i="9" s="1"/>
  <c r="I128" i="9"/>
  <c r="J128" i="9" s="1"/>
  <c r="I127" i="9"/>
  <c r="J127" i="9" s="1"/>
  <c r="I126" i="9"/>
  <c r="J126" i="9" s="1"/>
  <c r="I125" i="9"/>
  <c r="I124" i="9"/>
  <c r="J124" i="9" s="1"/>
  <c r="I123" i="9"/>
  <c r="J123" i="9" s="1"/>
  <c r="I122" i="9"/>
  <c r="J122" i="9" s="1"/>
  <c r="I121" i="9"/>
  <c r="I120" i="9"/>
  <c r="I119" i="9"/>
  <c r="J119" i="9" s="1"/>
  <c r="I118" i="9"/>
  <c r="J118" i="9" s="1"/>
  <c r="I117" i="9"/>
  <c r="J117" i="9" s="1"/>
  <c r="I116" i="9"/>
  <c r="J116" i="9" s="1"/>
  <c r="I115" i="9"/>
  <c r="J115" i="9" s="1"/>
  <c r="I114" i="9"/>
  <c r="J114" i="9" s="1"/>
  <c r="I113" i="9"/>
  <c r="J113" i="9" s="1"/>
  <c r="I112" i="9"/>
  <c r="J112" i="9" s="1"/>
  <c r="I111" i="9"/>
  <c r="J111" i="9" s="1"/>
  <c r="I110" i="9"/>
  <c r="J110" i="9" s="1"/>
  <c r="I109" i="9"/>
  <c r="J109" i="9" s="1"/>
  <c r="I108" i="9"/>
  <c r="J108" i="9" s="1"/>
  <c r="I107" i="9"/>
  <c r="J107" i="9" s="1"/>
  <c r="I106" i="9"/>
  <c r="J106" i="9" s="1"/>
  <c r="I105" i="9"/>
  <c r="J105" i="9" s="1"/>
  <c r="I104" i="9"/>
  <c r="J104" i="9" s="1"/>
  <c r="I103" i="9"/>
  <c r="J103" i="9" s="1"/>
  <c r="I102" i="9"/>
  <c r="J102" i="9" s="1"/>
  <c r="I101" i="9"/>
  <c r="J101" i="9" s="1"/>
  <c r="I100" i="9"/>
  <c r="J100" i="9" s="1"/>
  <c r="I99" i="9"/>
  <c r="J99" i="9" s="1"/>
  <c r="I98" i="9"/>
  <c r="J98" i="9" s="1"/>
  <c r="I97" i="9"/>
  <c r="J97" i="9" s="1"/>
  <c r="I96" i="9"/>
  <c r="J96" i="9" s="1"/>
  <c r="I95" i="9"/>
  <c r="I94" i="9"/>
  <c r="J94" i="9" s="1"/>
  <c r="I93" i="9"/>
  <c r="J93" i="9" s="1"/>
  <c r="I92" i="9"/>
  <c r="J92" i="9" s="1"/>
  <c r="I91" i="9"/>
  <c r="I90" i="9"/>
  <c r="I89" i="9"/>
  <c r="J89" i="9" s="1"/>
  <c r="I88" i="9"/>
  <c r="J88" i="9" s="1"/>
  <c r="I87" i="9"/>
  <c r="J87" i="9" s="1"/>
  <c r="I86" i="9"/>
  <c r="J86" i="9" s="1"/>
  <c r="I85" i="9"/>
  <c r="J85" i="9" s="1"/>
  <c r="I84" i="9"/>
  <c r="J84" i="9" s="1"/>
  <c r="I83" i="9"/>
  <c r="J83" i="9" s="1"/>
  <c r="I82" i="9"/>
  <c r="J82" i="9" s="1"/>
  <c r="I81" i="9"/>
  <c r="J81" i="9" s="1"/>
  <c r="I80" i="9"/>
  <c r="J80" i="9" s="1"/>
  <c r="I79" i="9"/>
  <c r="J79" i="9" s="1"/>
  <c r="I78" i="9"/>
  <c r="J78" i="9" s="1"/>
  <c r="I77" i="9"/>
  <c r="J77" i="9" s="1"/>
  <c r="I76" i="9"/>
  <c r="J76" i="9" s="1"/>
  <c r="I75" i="9"/>
  <c r="J75" i="9" s="1"/>
  <c r="I74" i="9"/>
  <c r="J74" i="9" s="1"/>
  <c r="I73" i="9"/>
  <c r="J73" i="9" s="1"/>
  <c r="I72" i="9"/>
  <c r="J72" i="9" s="1"/>
  <c r="I71" i="9"/>
  <c r="J71" i="9" s="1"/>
  <c r="I70" i="9"/>
  <c r="J70" i="9" s="1"/>
  <c r="I69" i="9"/>
  <c r="J69" i="9" s="1"/>
  <c r="I68" i="9"/>
  <c r="J68" i="9" s="1"/>
  <c r="I67" i="9"/>
  <c r="J67" i="9" s="1"/>
  <c r="I66" i="9"/>
  <c r="J66" i="9" s="1"/>
  <c r="I65" i="9"/>
  <c r="J65" i="9" s="1"/>
  <c r="I64" i="9"/>
  <c r="J64" i="9" s="1"/>
  <c r="I63" i="9"/>
  <c r="J63" i="9" s="1"/>
  <c r="I62" i="9"/>
  <c r="J62" i="9" s="1"/>
  <c r="I61" i="9"/>
  <c r="I60" i="9"/>
  <c r="J60" i="9" s="1"/>
  <c r="I59" i="9"/>
  <c r="J59" i="9" s="1"/>
  <c r="I58" i="9"/>
  <c r="J58" i="9" s="1"/>
  <c r="I57" i="9"/>
  <c r="I56" i="9"/>
  <c r="I55" i="9"/>
  <c r="J55" i="9" s="1"/>
  <c r="I54" i="9"/>
  <c r="J54" i="9" s="1"/>
  <c r="I53" i="9"/>
  <c r="J53" i="9" s="1"/>
  <c r="I52" i="9"/>
  <c r="J52" i="9" s="1"/>
  <c r="I51" i="9"/>
  <c r="J51" i="9" s="1"/>
  <c r="I50" i="9"/>
  <c r="J50" i="9" s="1"/>
  <c r="I49" i="9"/>
  <c r="J49" i="9" s="1"/>
  <c r="I48" i="9"/>
  <c r="J48" i="9" s="1"/>
  <c r="I47" i="9"/>
  <c r="J47" i="9" s="1"/>
  <c r="I46" i="9"/>
  <c r="J46" i="9" s="1"/>
  <c r="I45" i="9"/>
  <c r="J45" i="9" s="1"/>
  <c r="I44" i="9"/>
  <c r="J44" i="9" s="1"/>
  <c r="I43" i="9"/>
  <c r="J43" i="9" s="1"/>
  <c r="I42" i="9"/>
  <c r="J42" i="9" s="1"/>
  <c r="I41" i="9"/>
  <c r="J41" i="9" s="1"/>
  <c r="I40" i="9"/>
  <c r="J40" i="9" s="1"/>
  <c r="I39" i="9"/>
  <c r="J39" i="9" s="1"/>
  <c r="I38" i="9"/>
  <c r="J38" i="9" s="1"/>
  <c r="I37" i="9"/>
  <c r="J37" i="9" s="1"/>
  <c r="I36" i="9"/>
  <c r="J36" i="9" s="1"/>
  <c r="I35" i="9"/>
  <c r="J35" i="9" s="1"/>
  <c r="I34" i="9"/>
  <c r="J34" i="9" s="1"/>
  <c r="I33" i="9"/>
  <c r="J33" i="9" s="1"/>
  <c r="I32" i="9"/>
  <c r="J32" i="9" s="1"/>
  <c r="I31" i="9"/>
  <c r="I30" i="9"/>
  <c r="J30" i="9" s="1"/>
  <c r="I29" i="9"/>
  <c r="J29" i="9" s="1"/>
  <c r="I28" i="9"/>
  <c r="J28" i="9" s="1"/>
  <c r="I27" i="9"/>
  <c r="I26" i="9"/>
  <c r="I25" i="9"/>
  <c r="J25" i="9" s="1"/>
  <c r="I24" i="9"/>
  <c r="J24" i="9" s="1"/>
  <c r="I23" i="9"/>
  <c r="J23" i="9" s="1"/>
  <c r="I22" i="9"/>
  <c r="J22" i="9" s="1"/>
  <c r="I21" i="9"/>
  <c r="J21" i="9" s="1"/>
  <c r="I20" i="9"/>
  <c r="J20" i="9" s="1"/>
  <c r="I19" i="9"/>
  <c r="J19" i="9" s="1"/>
  <c r="I18" i="9"/>
  <c r="J18" i="9" s="1"/>
  <c r="I17" i="9"/>
  <c r="J17" i="9" s="1"/>
  <c r="I16" i="9"/>
  <c r="J16" i="9" s="1"/>
  <c r="I15" i="9"/>
  <c r="J15" i="9" s="1"/>
  <c r="I14" i="9"/>
  <c r="J14" i="9" s="1"/>
  <c r="I13" i="9"/>
  <c r="J13" i="9" s="1"/>
  <c r="I12" i="9"/>
  <c r="J12" i="9" s="1"/>
  <c r="I11" i="9"/>
  <c r="J11" i="9" s="1"/>
  <c r="I10" i="9"/>
  <c r="J10" i="9" s="1"/>
  <c r="I9" i="9"/>
  <c r="J9" i="9" s="1"/>
  <c r="I8" i="9"/>
  <c r="J8" i="9" s="1"/>
  <c r="I7" i="9"/>
  <c r="J7" i="9" s="1"/>
  <c r="I6" i="9"/>
  <c r="J6" i="9" s="1"/>
  <c r="I5" i="9"/>
  <c r="J5" i="9" s="1"/>
  <c r="I4" i="9"/>
  <c r="J4" i="9" s="1"/>
  <c r="I3" i="9"/>
  <c r="J3" i="9" s="1"/>
  <c r="Q96" i="10" l="1"/>
  <c r="Q97" i="10"/>
  <c r="Q19" i="10"/>
  <c r="Q98" i="10" s="1"/>
  <c r="Q17" i="10"/>
  <c r="AC11" i="10"/>
  <c r="AC8" i="10" s="1"/>
  <c r="R11" i="10"/>
  <c r="R8" i="10" l="1"/>
  <c r="AD11" i="10"/>
  <c r="AD8" i="10" s="1"/>
  <c r="R14" i="10"/>
  <c r="R13" i="10"/>
  <c r="R24" i="10"/>
  <c r="R23" i="10"/>
  <c r="R25" i="10"/>
  <c r="AC25" i="10"/>
  <c r="AC24" i="10"/>
  <c r="AC14" i="10"/>
  <c r="AC13" i="10"/>
  <c r="AC23" i="10"/>
  <c r="S11" i="10"/>
  <c r="T11" i="10" l="1"/>
  <c r="T25" i="10" s="1"/>
  <c r="S8" i="10"/>
  <c r="AC21" i="10"/>
  <c r="AC100" i="10" s="1"/>
  <c r="R21" i="10"/>
  <c r="R100" i="10" s="1"/>
  <c r="AC20" i="10"/>
  <c r="AC99" i="10" s="1"/>
  <c r="R20" i="10"/>
  <c r="R99" i="10" s="1"/>
  <c r="R17" i="10"/>
  <c r="R96" i="10"/>
  <c r="T13" i="10"/>
  <c r="AE11" i="10"/>
  <c r="AE8" i="10" s="1"/>
  <c r="S14" i="10"/>
  <c r="S13" i="10"/>
  <c r="S25" i="10"/>
  <c r="S21" i="10" s="1"/>
  <c r="S100" i="10" s="1"/>
  <c r="S24" i="10"/>
  <c r="S23" i="10"/>
  <c r="R19" i="10"/>
  <c r="R97" i="10"/>
  <c r="AC96" i="10"/>
  <c r="AC17" i="10"/>
  <c r="AC19" i="10"/>
  <c r="AC97" i="10"/>
  <c r="AD25" i="10"/>
  <c r="AD21" i="10" s="1"/>
  <c r="AD100" i="10" s="1"/>
  <c r="AD24" i="10"/>
  <c r="AD23" i="10"/>
  <c r="AD13" i="10"/>
  <c r="AD14" i="10"/>
  <c r="U11" i="10" l="1"/>
  <c r="U8" i="10" s="1"/>
  <c r="AF11" i="10"/>
  <c r="AF8" i="10" s="1"/>
  <c r="T24" i="10"/>
  <c r="T14" i="10"/>
  <c r="T19" i="10" s="1"/>
  <c r="T23" i="10"/>
  <c r="T8" i="10"/>
  <c r="AC98" i="10"/>
  <c r="T21" i="10"/>
  <c r="T100" i="10" s="1"/>
  <c r="R98" i="10"/>
  <c r="S20" i="10"/>
  <c r="S99" i="10" s="1"/>
  <c r="AD20" i="10"/>
  <c r="AD99" i="10" s="1"/>
  <c r="T96" i="10"/>
  <c r="T17" i="10"/>
  <c r="U25" i="10"/>
  <c r="U21" i="10" s="1"/>
  <c r="U100" i="10" s="1"/>
  <c r="U24" i="10"/>
  <c r="U23" i="10"/>
  <c r="U14" i="10"/>
  <c r="U13" i="10"/>
  <c r="S96" i="10"/>
  <c r="S17" i="10"/>
  <c r="S101" i="10" s="1"/>
  <c r="S97" i="10"/>
  <c r="S19" i="10"/>
  <c r="AF24" i="10"/>
  <c r="AF23" i="10"/>
  <c r="AF25" i="10"/>
  <c r="AF14" i="10"/>
  <c r="AF13" i="10"/>
  <c r="AD19" i="10"/>
  <c r="AD97" i="10"/>
  <c r="AE25" i="10"/>
  <c r="AE21" i="10" s="1"/>
  <c r="AE100" i="10" s="1"/>
  <c r="AE24" i="10"/>
  <c r="AE23" i="10"/>
  <c r="AE13" i="10"/>
  <c r="AE14" i="10"/>
  <c r="AD96" i="10"/>
  <c r="AD17" i="10"/>
  <c r="V11" i="10"/>
  <c r="AG11" i="10"/>
  <c r="AG8" i="10" s="1"/>
  <c r="T20" i="10" l="1"/>
  <c r="T99" i="10" s="1"/>
  <c r="T97" i="10"/>
  <c r="V8" i="10"/>
  <c r="AF21" i="10"/>
  <c r="AF100" i="10" s="1"/>
  <c r="T98" i="10"/>
  <c r="S98" i="10"/>
  <c r="AD98" i="10"/>
  <c r="AE20" i="10"/>
  <c r="AE99" i="10" s="1"/>
  <c r="AF20" i="10"/>
  <c r="AF99" i="10" s="1"/>
  <c r="AF19" i="10"/>
  <c r="AF97" i="10"/>
  <c r="AE96" i="10"/>
  <c r="AE17" i="10"/>
  <c r="AE101" i="10" s="1"/>
  <c r="U19" i="10"/>
  <c r="U97" i="10"/>
  <c r="U20" i="10"/>
  <c r="U99" i="10" s="1"/>
  <c r="AG23" i="10"/>
  <c r="AG14" i="10"/>
  <c r="AG25" i="10"/>
  <c r="AG21" i="10" s="1"/>
  <c r="AG100" i="10" s="1"/>
  <c r="AG24" i="10"/>
  <c r="AG13" i="10"/>
  <c r="V25" i="10"/>
  <c r="V24" i="10"/>
  <c r="V14" i="10"/>
  <c r="V23" i="10"/>
  <c r="V13" i="10"/>
  <c r="AF96" i="10"/>
  <c r="AF17" i="10"/>
  <c r="AE19" i="10"/>
  <c r="AE97" i="10"/>
  <c r="U96" i="10"/>
  <c r="U17" i="10"/>
  <c r="W11" i="10"/>
  <c r="AH11" i="10"/>
  <c r="AH8" i="10" s="1"/>
  <c r="W8" i="10" l="1"/>
  <c r="V21" i="10"/>
  <c r="V100" i="10" s="1"/>
  <c r="AE98" i="10"/>
  <c r="AF98" i="10"/>
  <c r="V96" i="10"/>
  <c r="V17" i="10"/>
  <c r="V101" i="10" s="1"/>
  <c r="W25" i="10"/>
  <c r="W24" i="10"/>
  <c r="W23" i="10"/>
  <c r="W13" i="10"/>
  <c r="W14" i="10"/>
  <c r="V20" i="10"/>
  <c r="V99" i="10" s="1"/>
  <c r="AG20" i="10"/>
  <c r="AG99" i="10" s="1"/>
  <c r="V19" i="10"/>
  <c r="V97" i="10"/>
  <c r="U98" i="10"/>
  <c r="AG96" i="10"/>
  <c r="AG17" i="10"/>
  <c r="AH14" i="10"/>
  <c r="AH13" i="10"/>
  <c r="AH23" i="10"/>
  <c r="AH24" i="10"/>
  <c r="AH25" i="10"/>
  <c r="AH21" i="10" s="1"/>
  <c r="AH100" i="10" s="1"/>
  <c r="AG19" i="10"/>
  <c r="AG97" i="10"/>
  <c r="X11" i="10"/>
  <c r="AI11" i="10"/>
  <c r="AI8" i="10" s="1"/>
  <c r="X8" i="10" l="1"/>
  <c r="V98" i="10"/>
  <c r="W21" i="10"/>
  <c r="W100" i="10" s="1"/>
  <c r="AG98" i="10"/>
  <c r="W20" i="10"/>
  <c r="W99" i="10" s="1"/>
  <c r="W19" i="10"/>
  <c r="W97" i="10"/>
  <c r="X24" i="10"/>
  <c r="X23" i="10"/>
  <c r="X13" i="10"/>
  <c r="X25" i="10"/>
  <c r="X21" i="10" s="1"/>
  <c r="X100" i="10" s="1"/>
  <c r="X14" i="10"/>
  <c r="W96" i="10"/>
  <c r="W17" i="10"/>
  <c r="AH20" i="10"/>
  <c r="AH99" i="10" s="1"/>
  <c r="AH17" i="10"/>
  <c r="AH101" i="10" s="1"/>
  <c r="AH96" i="10"/>
  <c r="AH19" i="10"/>
  <c r="AH97" i="10"/>
  <c r="Y11" i="10"/>
  <c r="Y8" i="10" s="1"/>
  <c r="AJ11" i="10"/>
  <c r="AJ8" i="10" s="1"/>
  <c r="W98" i="10" l="1"/>
  <c r="AH98" i="10"/>
  <c r="X20" i="10"/>
  <c r="X99" i="10" s="1"/>
  <c r="Y23" i="10"/>
  <c r="Y14" i="10"/>
  <c r="Y13" i="10"/>
  <c r="Y25" i="10"/>
  <c r="Y21" i="10" s="1"/>
  <c r="Y100" i="10" s="1"/>
  <c r="Y24" i="10"/>
  <c r="X97" i="10"/>
  <c r="X19" i="10"/>
  <c r="X96" i="10"/>
  <c r="X17" i="10"/>
  <c r="Z11" i="10"/>
  <c r="Z8" i="10" s="1"/>
  <c r="AK11" i="10"/>
  <c r="AK8" i="10" s="1"/>
  <c r="X98" i="10" l="1"/>
  <c r="Y96" i="10"/>
  <c r="Y17" i="10"/>
  <c r="Y101" i="10" s="1"/>
  <c r="Z14" i="10"/>
  <c r="Z13" i="10"/>
  <c r="Z25" i="10"/>
  <c r="Z23" i="10"/>
  <c r="Z24" i="10"/>
  <c r="Y20" i="10"/>
  <c r="Y99" i="10" s="1"/>
  <c r="Y19" i="10"/>
  <c r="Y98" i="10" s="1"/>
  <c r="Y97" i="10"/>
  <c r="AA11" i="10"/>
  <c r="AA8" i="10" s="1"/>
  <c r="AL11" i="10"/>
  <c r="AL8" i="10" s="1"/>
  <c r="Z21" i="10" l="1"/>
  <c r="Z100" i="10" s="1"/>
  <c r="Z20" i="10"/>
  <c r="Z99" i="10" s="1"/>
  <c r="Z17" i="10"/>
  <c r="Z96" i="10"/>
  <c r="AA14" i="10"/>
  <c r="AA13" i="10"/>
  <c r="AA24" i="10"/>
  <c r="AA23" i="10"/>
  <c r="AA25" i="10"/>
  <c r="AA21" i="10" s="1"/>
  <c r="AA100" i="10" s="1"/>
  <c r="Z97" i="10"/>
  <c r="Z19" i="10"/>
  <c r="AB11" i="10"/>
  <c r="AB8" i="10" s="1"/>
  <c r="AM11" i="10"/>
  <c r="AM8" i="10" s="1"/>
  <c r="Z98" i="10" l="1"/>
  <c r="AA20" i="10"/>
  <c r="AA99" i="10" s="1"/>
  <c r="AA96" i="10"/>
  <c r="AA17" i="10"/>
  <c r="AA19" i="10"/>
  <c r="AA97" i="10"/>
  <c r="AN11" i="10"/>
  <c r="AB13" i="10"/>
  <c r="AB25" i="10"/>
  <c r="AB21" i="10" s="1"/>
  <c r="AB100" i="10" s="1"/>
  <c r="AB24" i="10"/>
  <c r="AB23" i="10"/>
  <c r="AB14" i="10"/>
  <c r="AN8" i="10" l="1"/>
  <c r="L83" i="10"/>
  <c r="L81" i="10"/>
  <c r="M82" i="10"/>
  <c r="L82" i="10"/>
  <c r="N82" i="10"/>
  <c r="O82" i="10"/>
  <c r="K81" i="10"/>
  <c r="O83" i="10"/>
  <c r="H83" i="10"/>
  <c r="O81" i="10"/>
  <c r="K83" i="10"/>
  <c r="J81" i="10"/>
  <c r="K82" i="10"/>
  <c r="I82" i="10"/>
  <c r="N81" i="10"/>
  <c r="M81" i="10"/>
  <c r="H82" i="10"/>
  <c r="J83" i="10"/>
  <c r="N83" i="10"/>
  <c r="I83" i="10"/>
  <c r="J82" i="10"/>
  <c r="M83" i="10"/>
  <c r="I81" i="10"/>
  <c r="H81" i="10"/>
  <c r="K14" i="10"/>
  <c r="K19" i="10" s="1"/>
  <c r="H24" i="10"/>
  <c r="O13" i="10"/>
  <c r="J16" i="10"/>
  <c r="O24" i="10"/>
  <c r="O15" i="10"/>
  <c r="N15" i="10"/>
  <c r="N13" i="10"/>
  <c r="N25" i="10"/>
  <c r="N21" i="10" s="1"/>
  <c r="K15" i="10"/>
  <c r="K16" i="10"/>
  <c r="H23" i="10"/>
  <c r="L25" i="10"/>
  <c r="L21" i="10" s="1"/>
  <c r="L23" i="10"/>
  <c r="M24" i="10"/>
  <c r="I13" i="10"/>
  <c r="M14" i="10"/>
  <c r="J13" i="10"/>
  <c r="M13" i="10"/>
  <c r="J14" i="10"/>
  <c r="J19" i="10" s="1"/>
  <c r="AA98" i="10"/>
  <c r="AB20" i="10"/>
  <c r="AB99" i="10" s="1"/>
  <c r="AB96" i="10"/>
  <c r="AB17" i="10"/>
  <c r="AB101" i="10" s="1"/>
  <c r="AB19" i="10"/>
  <c r="AB97" i="10"/>
  <c r="M19" i="10" l="1"/>
  <c r="H91" i="10"/>
  <c r="L91" i="10"/>
  <c r="L89" i="10"/>
  <c r="L92" i="10"/>
  <c r="H90" i="10"/>
  <c r="M89" i="10"/>
  <c r="K89" i="10"/>
  <c r="I92" i="10"/>
  <c r="N89" i="10"/>
  <c r="K92" i="10"/>
  <c r="M91" i="10"/>
  <c r="J92" i="10"/>
  <c r="M92" i="10"/>
  <c r="I89" i="10"/>
  <c r="J91" i="10"/>
  <c r="M90" i="10"/>
  <c r="H89" i="10"/>
  <c r="K90" i="10"/>
  <c r="O91" i="10"/>
  <c r="J89" i="10"/>
  <c r="H92" i="10"/>
  <c r="N92" i="10"/>
  <c r="O92" i="10"/>
  <c r="I91" i="10"/>
  <c r="N90" i="10"/>
  <c r="L90" i="10"/>
  <c r="K91" i="10"/>
  <c r="O89" i="10"/>
  <c r="J90" i="10"/>
  <c r="I90" i="10"/>
  <c r="N91" i="10"/>
  <c r="O90" i="10"/>
  <c r="L72" i="10"/>
  <c r="M73" i="10"/>
  <c r="I46" i="10"/>
  <c r="J66" i="10"/>
  <c r="N64" i="10"/>
  <c r="K46" i="10"/>
  <c r="H58" i="10"/>
  <c r="H54" i="10"/>
  <c r="N74" i="10"/>
  <c r="L66" i="10"/>
  <c r="J40" i="10"/>
  <c r="O35" i="10"/>
  <c r="H71" i="10"/>
  <c r="H64" i="10"/>
  <c r="J39" i="10"/>
  <c r="J42" i="10"/>
  <c r="J57" i="10"/>
  <c r="I66" i="10"/>
  <c r="K57" i="10"/>
  <c r="L34" i="10"/>
  <c r="O59" i="10"/>
  <c r="M42" i="10"/>
  <c r="N49" i="10"/>
  <c r="N41" i="10"/>
  <c r="K79" i="10"/>
  <c r="M61" i="10"/>
  <c r="H40" i="10"/>
  <c r="H46" i="10"/>
  <c r="K31" i="10"/>
  <c r="H57" i="10"/>
  <c r="O68" i="10"/>
  <c r="N65" i="10"/>
  <c r="L48" i="10"/>
  <c r="J47" i="10"/>
  <c r="O63" i="10"/>
  <c r="O61" i="10"/>
  <c r="O71" i="10"/>
  <c r="L42" i="10"/>
  <c r="B42" i="10" s="1"/>
  <c r="M68" i="10"/>
  <c r="M71" i="10"/>
  <c r="J54" i="10"/>
  <c r="I77" i="10"/>
  <c r="N66" i="10"/>
  <c r="L44" i="10"/>
  <c r="H51" i="10"/>
  <c r="J64" i="10"/>
  <c r="L70" i="10"/>
  <c r="I71" i="10"/>
  <c r="O42" i="10"/>
  <c r="L49" i="10"/>
  <c r="L45" i="10"/>
  <c r="K73" i="10"/>
  <c r="H35" i="10"/>
  <c r="M72" i="10"/>
  <c r="K66" i="10"/>
  <c r="L41" i="10"/>
  <c r="K54" i="10"/>
  <c r="H33" i="10"/>
  <c r="N38" i="10"/>
  <c r="M78" i="10"/>
  <c r="L64" i="10"/>
  <c r="O74" i="10"/>
  <c r="N70" i="10"/>
  <c r="O67" i="10"/>
  <c r="L56" i="10"/>
  <c r="I40" i="10"/>
  <c r="I51" i="10"/>
  <c r="H48" i="10"/>
  <c r="N60" i="10"/>
  <c r="I32" i="10"/>
  <c r="O72" i="10"/>
  <c r="O78" i="10"/>
  <c r="N56" i="10"/>
  <c r="N32" i="10"/>
  <c r="M39" i="10"/>
  <c r="O36" i="10"/>
  <c r="H45" i="10"/>
  <c r="M36" i="10"/>
  <c r="H43" i="10"/>
  <c r="N79" i="10"/>
  <c r="N73" i="10"/>
  <c r="N39" i="10"/>
  <c r="L50" i="10"/>
  <c r="K52" i="10"/>
  <c r="J63" i="10"/>
  <c r="L78" i="10"/>
  <c r="O41" i="10"/>
  <c r="O56" i="10"/>
  <c r="J36" i="10"/>
  <c r="I62" i="10"/>
  <c r="L43" i="10"/>
  <c r="K53" i="10"/>
  <c r="M48" i="10"/>
  <c r="N52" i="10"/>
  <c r="M33" i="10"/>
  <c r="O64" i="10"/>
  <c r="K74" i="10"/>
  <c r="H72" i="10"/>
  <c r="H38" i="10"/>
  <c r="O54" i="10"/>
  <c r="J71" i="10"/>
  <c r="M41" i="10"/>
  <c r="I57" i="10"/>
  <c r="M62" i="10"/>
  <c r="O48" i="10"/>
  <c r="H62" i="10"/>
  <c r="A62" i="10" s="1"/>
  <c r="I53" i="10"/>
  <c r="L38" i="10"/>
  <c r="M45" i="10"/>
  <c r="H55" i="10"/>
  <c r="H53" i="10"/>
  <c r="A53" i="10" s="1"/>
  <c r="L60" i="10"/>
  <c r="O31" i="10"/>
  <c r="K58" i="10"/>
  <c r="N77" i="10"/>
  <c r="K34" i="10"/>
  <c r="J61" i="10"/>
  <c r="N45" i="10"/>
  <c r="O60" i="10"/>
  <c r="I34" i="10"/>
  <c r="K68" i="10"/>
  <c r="K59" i="10"/>
  <c r="J49" i="10"/>
  <c r="L74" i="10"/>
  <c r="H44" i="10"/>
  <c r="J67" i="10"/>
  <c r="I56" i="10"/>
  <c r="M65" i="10"/>
  <c r="O65" i="10"/>
  <c r="L77" i="10"/>
  <c r="M32" i="10"/>
  <c r="H73" i="10"/>
  <c r="I69" i="10"/>
  <c r="K63" i="10"/>
  <c r="O57" i="10"/>
  <c r="J51" i="10"/>
  <c r="I63" i="10"/>
  <c r="J44" i="10"/>
  <c r="J69" i="10"/>
  <c r="N37" i="10"/>
  <c r="H78" i="10"/>
  <c r="I78" i="10"/>
  <c r="K56" i="10"/>
  <c r="L47" i="10"/>
  <c r="J74" i="10"/>
  <c r="M43" i="10"/>
  <c r="K45" i="10"/>
  <c r="L59" i="10"/>
  <c r="K32" i="10"/>
  <c r="I36" i="10"/>
  <c r="L53" i="10"/>
  <c r="K47" i="10"/>
  <c r="L40" i="10"/>
  <c r="K38" i="10"/>
  <c r="H59" i="10"/>
  <c r="M74" i="10"/>
  <c r="J34" i="10"/>
  <c r="M63" i="10"/>
  <c r="L68" i="10"/>
  <c r="B68" i="10" s="1"/>
  <c r="N78" i="10"/>
  <c r="K33" i="10"/>
  <c r="M37" i="10"/>
  <c r="H68" i="10"/>
  <c r="I41" i="10"/>
  <c r="K39" i="10"/>
  <c r="H42" i="10"/>
  <c r="J77" i="10"/>
  <c r="M56" i="10"/>
  <c r="N40" i="10"/>
  <c r="I31" i="10"/>
  <c r="O44" i="10"/>
  <c r="J72" i="10"/>
  <c r="J43" i="10"/>
  <c r="N36" i="10"/>
  <c r="N50" i="10"/>
  <c r="K64" i="10"/>
  <c r="N33" i="10"/>
  <c r="O51" i="10"/>
  <c r="M79" i="10"/>
  <c r="I60" i="10"/>
  <c r="K78" i="10"/>
  <c r="N53" i="10"/>
  <c r="J73" i="10"/>
  <c r="J79" i="10"/>
  <c r="K40" i="10"/>
  <c r="K43" i="10"/>
  <c r="I44" i="10"/>
  <c r="O46" i="10"/>
  <c r="K77" i="10"/>
  <c r="J52" i="10"/>
  <c r="L39" i="10"/>
  <c r="N48" i="10"/>
  <c r="J68" i="10"/>
  <c r="N51" i="10"/>
  <c r="L79" i="10"/>
  <c r="I48" i="10"/>
  <c r="I70" i="10"/>
  <c r="N68" i="10"/>
  <c r="M69" i="10"/>
  <c r="O47" i="10"/>
  <c r="H79" i="10"/>
  <c r="L63" i="10"/>
  <c r="B63" i="10" s="1"/>
  <c r="O38" i="10"/>
  <c r="L46" i="10"/>
  <c r="H37" i="10"/>
  <c r="J78" i="10"/>
  <c r="L51" i="10"/>
  <c r="J53" i="10"/>
  <c r="J33" i="10"/>
  <c r="K50" i="10"/>
  <c r="O73" i="10"/>
  <c r="M44" i="10"/>
  <c r="K67" i="10"/>
  <c r="K55" i="10"/>
  <c r="M58" i="10"/>
  <c r="K65" i="10"/>
  <c r="M51" i="10"/>
  <c r="I47" i="10"/>
  <c r="N55" i="10"/>
  <c r="N34" i="10"/>
  <c r="J50" i="10"/>
  <c r="J62" i="10"/>
  <c r="M34" i="10"/>
  <c r="H41" i="10"/>
  <c r="A41" i="10" s="1"/>
  <c r="N63" i="10"/>
  <c r="I52" i="10"/>
  <c r="N57" i="10"/>
  <c r="N42" i="10"/>
  <c r="M57" i="10"/>
  <c r="O49" i="10"/>
  <c r="K41" i="10"/>
  <c r="L62" i="10"/>
  <c r="B62" i="10" s="1"/>
  <c r="M64" i="10"/>
  <c r="I38" i="10"/>
  <c r="I37" i="10"/>
  <c r="K36" i="10"/>
  <c r="H67" i="10"/>
  <c r="J60" i="10"/>
  <c r="N44" i="10"/>
  <c r="L57" i="10"/>
  <c r="H50" i="10"/>
  <c r="M67" i="10"/>
  <c r="J65" i="10"/>
  <c r="J48" i="10"/>
  <c r="L32" i="10"/>
  <c r="H60" i="10"/>
  <c r="O32" i="10"/>
  <c r="I68" i="10"/>
  <c r="I45" i="10"/>
  <c r="N31" i="10"/>
  <c r="H32" i="10"/>
  <c r="A32" i="10" s="1"/>
  <c r="O37" i="10"/>
  <c r="O58" i="10"/>
  <c r="K62" i="10"/>
  <c r="H49" i="10"/>
  <c r="H70" i="10"/>
  <c r="L36" i="10"/>
  <c r="H31" i="10"/>
  <c r="A31" i="10" s="1"/>
  <c r="H66" i="10"/>
  <c r="A66" i="10" s="1"/>
  <c r="J46" i="10"/>
  <c r="L54" i="10"/>
  <c r="L71" i="10"/>
  <c r="K42" i="10"/>
  <c r="O66" i="10"/>
  <c r="K69" i="10"/>
  <c r="O43" i="10"/>
  <c r="M70" i="10"/>
  <c r="O45" i="10"/>
  <c r="O34" i="10"/>
  <c r="J58" i="10"/>
  <c r="O69" i="10"/>
  <c r="H74" i="10"/>
  <c r="M40" i="10"/>
  <c r="J56" i="10"/>
  <c r="N72" i="10"/>
  <c r="N46" i="10"/>
  <c r="I79" i="10"/>
  <c r="O40" i="10"/>
  <c r="H39" i="10"/>
  <c r="J70" i="10"/>
  <c r="J59" i="10"/>
  <c r="N54" i="10"/>
  <c r="H61" i="10"/>
  <c r="I55" i="10"/>
  <c r="N62" i="10"/>
  <c r="I64" i="10"/>
  <c r="K37" i="10"/>
  <c r="H47" i="10"/>
  <c r="A47" i="10" s="1"/>
  <c r="I33" i="10"/>
  <c r="M35" i="10"/>
  <c r="L31" i="10"/>
  <c r="I74" i="10"/>
  <c r="O79" i="10"/>
  <c r="I65" i="10"/>
  <c r="M54" i="10"/>
  <c r="L65" i="10"/>
  <c r="B65" i="10" s="1"/>
  <c r="N67" i="10"/>
  <c r="M66" i="10"/>
  <c r="L37" i="10"/>
  <c r="K70" i="10"/>
  <c r="N35" i="10"/>
  <c r="H77" i="10"/>
  <c r="I73" i="10"/>
  <c r="I58" i="10"/>
  <c r="I72" i="10"/>
  <c r="J38" i="10"/>
  <c r="M53" i="10"/>
  <c r="H34" i="10"/>
  <c r="I49" i="10"/>
  <c r="I35" i="10"/>
  <c r="O50" i="10"/>
  <c r="O52" i="10"/>
  <c r="J31" i="10"/>
  <c r="J41" i="10"/>
  <c r="N71" i="10"/>
  <c r="K44" i="10"/>
  <c r="K71" i="10"/>
  <c r="K60" i="10"/>
  <c r="K72" i="10"/>
  <c r="M60" i="10"/>
  <c r="I59" i="10"/>
  <c r="O77" i="10"/>
  <c r="L67" i="10"/>
  <c r="H56" i="10"/>
  <c r="A56" i="10" s="1"/>
  <c r="J45" i="10"/>
  <c r="M49" i="10"/>
  <c r="M52" i="10"/>
  <c r="K48" i="10"/>
  <c r="I50" i="10"/>
  <c r="I54" i="10"/>
  <c r="O39" i="10"/>
  <c r="N59" i="10"/>
  <c r="M47" i="10"/>
  <c r="L69" i="10"/>
  <c r="B69" i="10" s="1"/>
  <c r="M38" i="10"/>
  <c r="O53" i="10"/>
  <c r="K51" i="10"/>
  <c r="N58" i="10"/>
  <c r="J35" i="10"/>
  <c r="I61" i="10"/>
  <c r="L52" i="10"/>
  <c r="J55" i="10"/>
  <c r="L61" i="10"/>
  <c r="B61" i="10" s="1"/>
  <c r="N61" i="10"/>
  <c r="H65" i="10"/>
  <c r="O33" i="10"/>
  <c r="L55" i="10"/>
  <c r="L58" i="10"/>
  <c r="B58" i="10" s="1"/>
  <c r="K61" i="10"/>
  <c r="H36" i="10"/>
  <c r="N43" i="10"/>
  <c r="I42" i="10"/>
  <c r="I67" i="10"/>
  <c r="H63" i="10"/>
  <c r="A63" i="10" s="1"/>
  <c r="L73" i="10"/>
  <c r="M55" i="10"/>
  <c r="O62" i="10"/>
  <c r="N47" i="10"/>
  <c r="K49" i="10"/>
  <c r="J37" i="10"/>
  <c r="M46" i="10"/>
  <c r="M50" i="10"/>
  <c r="O55" i="10"/>
  <c r="O70" i="10"/>
  <c r="M77" i="10"/>
  <c r="N69" i="10"/>
  <c r="L33" i="10"/>
  <c r="H69" i="10"/>
  <c r="A69" i="10" s="1"/>
  <c r="J32" i="10"/>
  <c r="I39" i="10"/>
  <c r="M31" i="10"/>
  <c r="L35" i="10"/>
  <c r="I43" i="10"/>
  <c r="H52" i="10"/>
  <c r="M59" i="10"/>
  <c r="K35" i="10"/>
  <c r="I23" i="10"/>
  <c r="N23" i="10"/>
  <c r="K25" i="10"/>
  <c r="K21" i="10" s="1"/>
  <c r="H14" i="10"/>
  <c r="L15" i="10"/>
  <c r="J24" i="10"/>
  <c r="L14" i="10"/>
  <c r="J15" i="10"/>
  <c r="J17" i="10" s="1"/>
  <c r="M23" i="10"/>
  <c r="M20" i="10" s="1"/>
  <c r="M25" i="10"/>
  <c r="M21" i="10" s="1"/>
  <c r="H25" i="10"/>
  <c r="H21" i="10" s="1"/>
  <c r="A21" i="10" s="1"/>
  <c r="M16" i="10"/>
  <c r="N14" i="10"/>
  <c r="N19" i="10" s="1"/>
  <c r="L16" i="10"/>
  <c r="M15" i="10"/>
  <c r="H13" i="10"/>
  <c r="A13" i="10" s="1"/>
  <c r="I15" i="10"/>
  <c r="K23" i="10"/>
  <c r="I14" i="10"/>
  <c r="N16" i="10"/>
  <c r="N17" i="10" s="1"/>
  <c r="L24" i="10"/>
  <c r="O16" i="10"/>
  <c r="O17" i="10" s="1"/>
  <c r="H15" i="10"/>
  <c r="K24" i="10"/>
  <c r="AB98" i="10"/>
  <c r="J23" i="10"/>
  <c r="J20" i="10" s="1"/>
  <c r="I24" i="10"/>
  <c r="I20" i="10" s="1"/>
  <c r="L13" i="10"/>
  <c r="I16" i="10"/>
  <c r="H16" i="10"/>
  <c r="N24" i="10"/>
  <c r="O23" i="10"/>
  <c r="O20" i="10" s="1"/>
  <c r="I25" i="10"/>
  <c r="I21" i="10" s="1"/>
  <c r="O14" i="10"/>
  <c r="O19" i="10" s="1"/>
  <c r="J25" i="10"/>
  <c r="J21" i="10" s="1"/>
  <c r="O25" i="10"/>
  <c r="O21" i="10" s="1"/>
  <c r="K13" i="10"/>
  <c r="K17" i="10" s="1"/>
  <c r="H20" i="10"/>
  <c r="A20" i="10" s="1"/>
  <c r="L20" i="10"/>
  <c r="A34" i="10" l="1"/>
  <c r="A52" i="10"/>
  <c r="A36" i="10"/>
  <c r="A46" i="10"/>
  <c r="A70" i="10"/>
  <c r="B46" i="10"/>
  <c r="B59" i="10"/>
  <c r="B47" i="10"/>
  <c r="B38" i="10"/>
  <c r="B41" i="10"/>
  <c r="K75" i="10"/>
  <c r="A54" i="10"/>
  <c r="A15" i="10"/>
  <c r="I75" i="10"/>
  <c r="A49" i="10"/>
  <c r="B51" i="10"/>
  <c r="A16" i="10"/>
  <c r="A48" i="10"/>
  <c r="B44" i="10"/>
  <c r="B34" i="10"/>
  <c r="B21" i="10"/>
  <c r="I19" i="10"/>
  <c r="M17" i="10"/>
  <c r="L19" i="10"/>
  <c r="B19" i="10" s="1"/>
  <c r="B14" i="10"/>
  <c r="B33" i="10"/>
  <c r="B73" i="10"/>
  <c r="L76" i="10"/>
  <c r="L75" i="10"/>
  <c r="M76" i="10"/>
  <c r="B55" i="10"/>
  <c r="B67" i="10"/>
  <c r="B37" i="10"/>
  <c r="B31" i="10"/>
  <c r="A61" i="10"/>
  <c r="A39" i="10"/>
  <c r="B39" i="10"/>
  <c r="J75" i="10"/>
  <c r="A68" i="10"/>
  <c r="A59" i="10"/>
  <c r="B53" i="10"/>
  <c r="A38" i="10"/>
  <c r="B43" i="10"/>
  <c r="B50" i="10"/>
  <c r="A43" i="10"/>
  <c r="B45" i="10"/>
  <c r="B70" i="10"/>
  <c r="A40" i="10"/>
  <c r="A58" i="10"/>
  <c r="B13" i="10"/>
  <c r="H19" i="10"/>
  <c r="A19" i="10" s="1"/>
  <c r="A14" i="10"/>
  <c r="B57" i="10"/>
  <c r="B71" i="10"/>
  <c r="A60" i="10"/>
  <c r="A42" i="10"/>
  <c r="A55" i="10"/>
  <c r="A72" i="10"/>
  <c r="A33" i="10"/>
  <c r="B49" i="10"/>
  <c r="A57" i="10"/>
  <c r="A64" i="10"/>
  <c r="B66" i="10"/>
  <c r="M75" i="10"/>
  <c r="B35" i="10"/>
  <c r="A73" i="10"/>
  <c r="H76" i="10"/>
  <c r="K76" i="10"/>
  <c r="J76" i="10"/>
  <c r="H75" i="10"/>
  <c r="I76" i="10"/>
  <c r="B60" i="10"/>
  <c r="B16" i="10"/>
  <c r="B20" i="10"/>
  <c r="I17" i="10"/>
  <c r="B15" i="10"/>
  <c r="A65" i="10"/>
  <c r="B52" i="10"/>
  <c r="B54" i="10"/>
  <c r="B36" i="10"/>
  <c r="B32" i="10"/>
  <c r="A50" i="10"/>
  <c r="A67" i="10"/>
  <c r="A37" i="10"/>
  <c r="B40" i="10"/>
  <c r="A44" i="10"/>
  <c r="A45" i="10"/>
  <c r="B56" i="10"/>
  <c r="B64" i="10"/>
  <c r="A35" i="10"/>
  <c r="A51" i="10"/>
  <c r="B48" i="10"/>
  <c r="A71" i="10"/>
  <c r="B72" i="10"/>
  <c r="A74" i="10"/>
  <c r="B74" i="10"/>
  <c r="K20" i="10"/>
  <c r="H93" i="10"/>
  <c r="I88" i="10" s="1"/>
  <c r="I93" i="10" s="1"/>
  <c r="J88" i="10" s="1"/>
  <c r="J93" i="10" s="1"/>
  <c r="K88" i="10" s="1"/>
  <c r="K93" i="10" s="1"/>
  <c r="L88" i="10" s="1"/>
  <c r="L93" i="10" s="1"/>
  <c r="M88" i="10" s="1"/>
  <c r="M93" i="10" s="1"/>
  <c r="N88" i="10" s="1"/>
  <c r="N93" i="10" s="1"/>
  <c r="O88" i="10" s="1"/>
  <c r="O93" i="10" s="1"/>
  <c r="H17" i="10"/>
  <c r="L17" i="10"/>
  <c r="B17" i="10" s="1"/>
  <c r="N20" i="10"/>
  <c r="A17" i="10" l="1"/>
</calcChain>
</file>

<file path=xl/sharedStrings.xml><?xml version="1.0" encoding="utf-8"?>
<sst xmlns="http://schemas.openxmlformats.org/spreadsheetml/2006/main" count="1964" uniqueCount="222">
  <si>
    <t>III. 종목별 보험손익</t>
    <phoneticPr fontId="3" type="noConversion"/>
  </si>
  <si>
    <t>(단위:백만원)</t>
    <phoneticPr fontId="10" type="noConversion"/>
  </si>
  <si>
    <t>구 분</t>
    <phoneticPr fontId="2" type="noConversion"/>
  </si>
  <si>
    <t>YoY</t>
    <phoneticPr fontId="2" type="noConversion"/>
  </si>
  <si>
    <t>일반</t>
    <phoneticPr fontId="2" type="noConversion"/>
  </si>
  <si>
    <t>보 험 손 익</t>
    <phoneticPr fontId="2" type="noConversion"/>
  </si>
  <si>
    <t>장기</t>
    <phoneticPr fontId="2" type="noConversion"/>
  </si>
  <si>
    <t xml:space="preserve"> - 보험금 예실차</t>
    <phoneticPr fontId="2" type="noConversion"/>
  </si>
  <si>
    <t xml:space="preserve"> - 사업비 예실차</t>
    <phoneticPr fontId="2" type="noConversion"/>
  </si>
  <si>
    <t>자동차</t>
    <phoneticPr fontId="2" type="noConversion"/>
  </si>
  <si>
    <t>보 험 손 익 합계</t>
    <phoneticPr fontId="2" type="noConversion"/>
  </si>
  <si>
    <t>(단위:백만원)</t>
    <phoneticPr fontId="10" type="noConversion"/>
  </si>
  <si>
    <t>자 동 차</t>
  </si>
  <si>
    <t>총    계</t>
  </si>
  <si>
    <t>주) 원수보험료 기준</t>
    <phoneticPr fontId="2" type="noConversion"/>
  </si>
  <si>
    <t>운전자</t>
  </si>
  <si>
    <t>CSM 상각 (+)</t>
    <phoneticPr fontId="2" type="noConversion"/>
  </si>
  <si>
    <t>예상대비 실제 차이 (+)</t>
    <phoneticPr fontId="2" type="noConversion"/>
  </si>
  <si>
    <t>구 분</t>
    <phoneticPr fontId="2" type="noConversion"/>
  </si>
  <si>
    <t>YoY</t>
    <phoneticPr fontId="2" type="noConversion"/>
  </si>
  <si>
    <t>투 자 손 익</t>
    <phoneticPr fontId="2" type="noConversion"/>
  </si>
  <si>
    <t>I. 경영실적 Highlights</t>
    <phoneticPr fontId="3" type="noConversion"/>
  </si>
  <si>
    <t>1. 보험료</t>
    <phoneticPr fontId="3" type="noConversion"/>
  </si>
  <si>
    <t>(단위:백만원)</t>
    <phoneticPr fontId="10" type="noConversion"/>
  </si>
  <si>
    <t>구 분</t>
    <phoneticPr fontId="2" type="noConversion"/>
  </si>
  <si>
    <t>일    반</t>
    <phoneticPr fontId="2" type="noConversion"/>
  </si>
  <si>
    <t>장    기</t>
    <phoneticPr fontId="2" type="noConversion"/>
  </si>
  <si>
    <t>2. 손 익</t>
    <phoneticPr fontId="3" type="noConversion"/>
  </si>
  <si>
    <t>보 험 손 익</t>
    <phoneticPr fontId="2" type="noConversion"/>
  </si>
  <si>
    <t xml:space="preserve"> - 일   반</t>
    <phoneticPr fontId="2" type="noConversion"/>
  </si>
  <si>
    <t xml:space="preserve"> - 장   기</t>
    <phoneticPr fontId="2" type="noConversion"/>
  </si>
  <si>
    <t xml:space="preserve"> - 자동차</t>
    <phoneticPr fontId="2" type="noConversion"/>
  </si>
  <si>
    <t>영업외손익</t>
    <phoneticPr fontId="2" type="noConversion"/>
  </si>
  <si>
    <t>당기순이익</t>
    <phoneticPr fontId="2" type="noConversion"/>
  </si>
  <si>
    <t>3. 재 무</t>
    <phoneticPr fontId="3" type="noConversion"/>
  </si>
  <si>
    <t>(단위:백만원)</t>
    <phoneticPr fontId="10" type="noConversion"/>
  </si>
  <si>
    <t>(YTD)</t>
    <phoneticPr fontId="2" type="noConversion"/>
  </si>
  <si>
    <t>총 자산</t>
    <phoneticPr fontId="2" type="noConversion"/>
  </si>
  <si>
    <t>자기자본</t>
    <phoneticPr fontId="2" type="noConversion"/>
  </si>
  <si>
    <t>지급여력비율 (K-ICS)</t>
    <phoneticPr fontId="2" type="noConversion"/>
  </si>
  <si>
    <t xml:space="preserve">CSM 잔액 </t>
    <phoneticPr fontId="2" type="noConversion"/>
  </si>
  <si>
    <t>CSM 상각</t>
    <phoneticPr fontId="2" type="noConversion"/>
  </si>
  <si>
    <t>세전이익</t>
    <phoneticPr fontId="2" type="noConversion"/>
  </si>
  <si>
    <t>Factsheet</t>
    <phoneticPr fontId="17" type="noConversion"/>
  </si>
  <si>
    <t xml:space="preserve"> Contents</t>
  </si>
  <si>
    <t xml:space="preserve"> I. 경영실적 Highlights</t>
  </si>
  <si>
    <t>Ⅲ. 종목별 보험손익 (UW Income)</t>
    <phoneticPr fontId="2" type="noConversion"/>
  </si>
  <si>
    <t>23.2Q</t>
    <phoneticPr fontId="2" type="noConversion"/>
  </si>
  <si>
    <t>23.2Q
누계</t>
    <phoneticPr fontId="2" type="noConversion"/>
  </si>
  <si>
    <t>22.2Q</t>
    <phoneticPr fontId="2" type="noConversion"/>
  </si>
  <si>
    <t>22.2Q
누계</t>
    <phoneticPr fontId="2" type="noConversion"/>
  </si>
  <si>
    <t>23.2Q</t>
    <phoneticPr fontId="2" type="noConversion"/>
  </si>
  <si>
    <t>2023. 6월 말</t>
    <phoneticPr fontId="2" type="noConversion"/>
  </si>
  <si>
    <t>2023.1Q</t>
    <phoneticPr fontId="2" type="noConversion"/>
  </si>
  <si>
    <t>2023. 3월 말</t>
    <phoneticPr fontId="2" type="noConversion"/>
  </si>
  <si>
    <t>QoQ</t>
    <phoneticPr fontId="2" type="noConversion"/>
  </si>
  <si>
    <t>QoQ</t>
    <phoneticPr fontId="2" type="noConversion"/>
  </si>
  <si>
    <t>2023. 1Q</t>
    <phoneticPr fontId="2" type="noConversion"/>
  </si>
  <si>
    <t>II. 보험료 현황</t>
    <phoneticPr fontId="3" type="noConversion"/>
  </si>
  <si>
    <t>Ⅱ. 보험료 현황 (Premium)</t>
    <phoneticPr fontId="2" type="noConversion"/>
  </si>
  <si>
    <t>2023년 2분기</t>
    <phoneticPr fontId="17" type="noConversion"/>
  </si>
  <si>
    <t>RA 변동</t>
    <phoneticPr fontId="2" type="noConversion"/>
  </si>
  <si>
    <t>RA 변동 (+)</t>
    <phoneticPr fontId="2" type="noConversion"/>
  </si>
  <si>
    <t>SELECT 기준년월</t>
  </si>
  <si>
    <t xml:space="preserve">           WHEN 보종중분류코드 = '22' THEN '재물'</t>
  </si>
  <si>
    <t>, (CASE WHEN 보종소분류코드 = '2A' THEN '상해'</t>
  </si>
  <si>
    <t xml:space="preserve">           WHEN 보종소분류코드 = '2B' THEN '질병'</t>
  </si>
  <si>
    <t xml:space="preserve">           WHEN 보종소분류코드 = '2C' THEN '운전자'</t>
  </si>
  <si>
    <t xml:space="preserve">           WHEN 보종소분류코드 = '2G' THEN '재물'</t>
  </si>
  <si>
    <t xml:space="preserve">           WHEN 보종소분류코드 = '2D' THEN '저축성'</t>
  </si>
  <si>
    <t xml:space="preserve">           WHEN 보종소분류코드 = '2F' THEN '연금'</t>
  </si>
  <si>
    <t>증권번호</t>
    <phoneticPr fontId="2" type="noConversion"/>
  </si>
  <si>
    <t>, SUM(원수실적) AS 원수보험료</t>
  </si>
  <si>
    <t>FROM mart.마트_마케팅_영관_보종월명세</t>
  </si>
  <si>
    <t>WHERE 1=1</t>
  </si>
  <si>
    <t>AND 보종대분류코드 = '2'</t>
  </si>
  <si>
    <t>AND 기준년월 BETWEEN '202201' AND '202306'</t>
  </si>
  <si>
    <t xml:space="preserve">           ELSE '기타' END) AS 보종중분류</t>
  </si>
  <si>
    <t xml:space="preserve">           ELSE '기타' END) AS 보종소분류</t>
  </si>
  <si>
    <t>보종월</t>
    <phoneticPr fontId="2" type="noConversion"/>
  </si>
  <si>
    <t>수입보험료</t>
    <phoneticPr fontId="2" type="noConversion"/>
  </si>
  <si>
    <t>증권번호</t>
    <phoneticPr fontId="2" type="noConversion"/>
  </si>
  <si>
    <t>입금원인코드 = '01' &lt;&lt; 신계약</t>
    <phoneticPr fontId="2" type="noConversion"/>
  </si>
  <si>
    <t>기준년월</t>
  </si>
  <si>
    <t>보종중분류</t>
  </si>
  <si>
    <t>보종소분류</t>
  </si>
  <si>
    <t>납입방법구분코드</t>
  </si>
  <si>
    <t>원수보험료</t>
  </si>
  <si>
    <t>보장성</t>
  </si>
  <si>
    <t>상해</t>
  </si>
  <si>
    <t>질병</t>
  </si>
  <si>
    <t>재물</t>
  </si>
  <si>
    <t>저축성</t>
  </si>
  <si>
    <t>연금</t>
  </si>
  <si>
    <t>월납</t>
    <phoneticPr fontId="2" type="noConversion"/>
  </si>
  <si>
    <t>일시납</t>
    <phoneticPr fontId="2" type="noConversion"/>
  </si>
  <si>
    <t>3월납</t>
    <phoneticPr fontId="2" type="noConversion"/>
  </si>
  <si>
    <t>6월납</t>
    <phoneticPr fontId="2" type="noConversion"/>
  </si>
  <si>
    <t>자동차</t>
    <phoneticPr fontId="2" type="noConversion"/>
  </si>
  <si>
    <t>장기</t>
    <phoneticPr fontId="2" type="noConversion"/>
  </si>
  <si>
    <t>합계</t>
    <phoneticPr fontId="2" type="noConversion"/>
  </si>
  <si>
    <t>합  계</t>
  </si>
  <si>
    <t>, 납입방법구분코드, 장기신규여부</t>
    <phoneticPr fontId="2" type="noConversion"/>
  </si>
  <si>
    <t>12월납</t>
    <phoneticPr fontId="2" type="noConversion"/>
  </si>
  <si>
    <t>일시납</t>
    <phoneticPr fontId="2" type="noConversion"/>
  </si>
  <si>
    <t>GROUP BY 기준년월, 보종중분류, 보종소분류, 납입방법구분코드, 장기신규여부</t>
    <phoneticPr fontId="2" type="noConversion"/>
  </si>
  <si>
    <t>ORDER BY 기준년월, 보종중분류, 보종소분류, 납입방법구분코드, 장기신규여부</t>
    <phoneticPr fontId="2" type="noConversion"/>
  </si>
  <si>
    <t>신규월납</t>
    <phoneticPr fontId="2" type="noConversion"/>
  </si>
  <si>
    <t>장기 신규월납</t>
    <phoneticPr fontId="2" type="noConversion"/>
  </si>
  <si>
    <t>보장</t>
  </si>
  <si>
    <t>재물</t>
    <phoneticPr fontId="2" type="noConversion"/>
  </si>
  <si>
    <t>보장성</t>
    <phoneticPr fontId="2" type="noConversion"/>
  </si>
  <si>
    <t>저축성</t>
    <phoneticPr fontId="2" type="noConversion"/>
  </si>
  <si>
    <t>보장</t>
    <phoneticPr fontId="2" type="noConversion"/>
  </si>
  <si>
    <t>저축</t>
  </si>
  <si>
    <t>저축</t>
    <phoneticPr fontId="2" type="noConversion"/>
  </si>
  <si>
    <t>주) 1. 보장성 : 재물 포함,   2. 저축성 : 연금 포함</t>
    <phoneticPr fontId="2" type="noConversion"/>
  </si>
  <si>
    <t>장기신규여부</t>
  </si>
  <si>
    <t>Y</t>
  </si>
  <si>
    <t>N</t>
  </si>
  <si>
    <t>신규(월납환산)보험료</t>
    <phoneticPr fontId="2" type="noConversion"/>
  </si>
  <si>
    <t>2월납</t>
    <phoneticPr fontId="2" type="noConversion"/>
  </si>
  <si>
    <t>, (CASE WHEN 보종중분류코드 = '21' THEN '보장'</t>
    <phoneticPr fontId="2" type="noConversion"/>
  </si>
  <si>
    <t xml:space="preserve">           WHEN 보종중분류코드 = '23' THEN '저축'</t>
    <phoneticPr fontId="2" type="noConversion"/>
  </si>
  <si>
    <t>구분</t>
    <phoneticPr fontId="2" type="noConversion"/>
  </si>
  <si>
    <t>(단위 : 백만원)</t>
    <phoneticPr fontId="2" type="noConversion"/>
  </si>
  <si>
    <t>1Q</t>
    <phoneticPr fontId="2" type="noConversion"/>
  </si>
  <si>
    <t>2Q</t>
    <phoneticPr fontId="2" type="noConversion"/>
  </si>
  <si>
    <t>3Q</t>
    <phoneticPr fontId="2" type="noConversion"/>
  </si>
  <si>
    <t>4Q</t>
    <phoneticPr fontId="2" type="noConversion"/>
  </si>
  <si>
    <t>1Q</t>
    <phoneticPr fontId="2" type="noConversion"/>
  </si>
  <si>
    <t>2Q</t>
    <phoneticPr fontId="2" type="noConversion"/>
  </si>
  <si>
    <t>3Q</t>
    <phoneticPr fontId="2" type="noConversion"/>
  </si>
  <si>
    <t>1. 보험료</t>
    <phoneticPr fontId="2" type="noConversion"/>
  </si>
  <si>
    <t>2. 손익</t>
    <phoneticPr fontId="2" type="noConversion"/>
  </si>
  <si>
    <t>보험손익</t>
    <phoneticPr fontId="2" type="noConversion"/>
  </si>
  <si>
    <t>장기보험</t>
    <phoneticPr fontId="2" type="noConversion"/>
  </si>
  <si>
    <t>CSM상각</t>
    <phoneticPr fontId="2" type="noConversion"/>
  </si>
  <si>
    <t>RA변동</t>
    <phoneticPr fontId="2" type="noConversion"/>
  </si>
  <si>
    <t>예실차</t>
    <phoneticPr fontId="2" type="noConversion"/>
  </si>
  <si>
    <t>보험금</t>
    <phoneticPr fontId="2" type="noConversion"/>
  </si>
  <si>
    <t>손조비</t>
    <phoneticPr fontId="2" type="noConversion"/>
  </si>
  <si>
    <t>무관체결비</t>
    <phoneticPr fontId="2" type="noConversion"/>
  </si>
  <si>
    <t>유지비</t>
    <phoneticPr fontId="2" type="noConversion"/>
  </si>
  <si>
    <t>투자관리비</t>
    <phoneticPr fontId="2" type="noConversion"/>
  </si>
  <si>
    <t>기타사업비 등 (-)</t>
    <phoneticPr fontId="2" type="noConversion"/>
  </si>
  <si>
    <t>재보험 손익 (+)</t>
    <phoneticPr fontId="2" type="noConversion"/>
  </si>
  <si>
    <t>주) 1. (장기보험) 사업비 예실차 : 손해조사비, 보험료무관체결비, 유지비, 투자관리비 예실차</t>
    <phoneticPr fontId="2" type="noConversion"/>
  </si>
  <si>
    <t xml:space="preserve">     2. (장기보험) 기타사업비 등 : 간접비, 손실요소관련비용 등</t>
    <phoneticPr fontId="2" type="noConversion"/>
  </si>
  <si>
    <t xml:space="preserve">     3. (일반,자동차보험) 발생손해액 : 발생보험금, 발생사고요소조정, 발생손해조사비 등</t>
    <phoneticPr fontId="2" type="noConversion"/>
  </si>
  <si>
    <t>보험영업수익</t>
    <phoneticPr fontId="2" type="noConversion"/>
  </si>
  <si>
    <t>보험영업비용</t>
  </si>
  <si>
    <t>보험영업비용</t>
    <phoneticPr fontId="2" type="noConversion"/>
  </si>
  <si>
    <t xml:space="preserve">     4. (일반,자동차보험) 보험영업수익 : 보험수익-재보험서비스비용</t>
    <phoneticPr fontId="2" type="noConversion"/>
  </si>
  <si>
    <t xml:space="preserve">     5. (일반,자동차보험) 보험영업비용 : 보험서비스비용-재보험수익+기타사업비용</t>
    <phoneticPr fontId="2" type="noConversion"/>
  </si>
  <si>
    <t>사업비</t>
    <phoneticPr fontId="2" type="noConversion"/>
  </si>
  <si>
    <t>재보험손익</t>
    <phoneticPr fontId="2" type="noConversion"/>
  </si>
  <si>
    <t>기타사업비 등</t>
    <phoneticPr fontId="2" type="noConversion"/>
  </si>
  <si>
    <t>간접비</t>
    <phoneticPr fontId="2" type="noConversion"/>
  </si>
  <si>
    <t>손실비용(원수)</t>
    <phoneticPr fontId="2" type="noConversion"/>
  </si>
  <si>
    <t>기타사업비_영업외잡손실가계정</t>
    <phoneticPr fontId="2" type="noConversion"/>
  </si>
  <si>
    <t>일반보험</t>
    <phoneticPr fontId="2" type="noConversion"/>
  </si>
  <si>
    <t>보험수익</t>
    <phoneticPr fontId="2" type="noConversion"/>
  </si>
  <si>
    <t>재보험서비스비용</t>
    <phoneticPr fontId="2" type="noConversion"/>
  </si>
  <si>
    <t>보험영업비용</t>
    <phoneticPr fontId="2" type="noConversion"/>
  </si>
  <si>
    <t>재보험수익</t>
    <phoneticPr fontId="2" type="noConversion"/>
  </si>
  <si>
    <t>기타사업비용</t>
    <phoneticPr fontId="2" type="noConversion"/>
  </si>
  <si>
    <t>투자손익</t>
    <phoneticPr fontId="2" type="noConversion"/>
  </si>
  <si>
    <t>투자영업이익</t>
    <phoneticPr fontId="2" type="noConversion"/>
  </si>
  <si>
    <t>보험금융비용 등</t>
    <phoneticPr fontId="2" type="noConversion"/>
  </si>
  <si>
    <t>퇴직연금부담이자 등</t>
    <phoneticPr fontId="2" type="noConversion"/>
  </si>
  <si>
    <t>보험금융비용</t>
    <phoneticPr fontId="2" type="noConversion"/>
  </si>
  <si>
    <t>지분법평가손익(계정합산)</t>
    <phoneticPr fontId="2" type="noConversion"/>
  </si>
  <si>
    <t>법인세비용</t>
    <phoneticPr fontId="2" type="noConversion"/>
  </si>
  <si>
    <t>보험영업수익 (+)</t>
    <phoneticPr fontId="2" type="noConversion"/>
  </si>
  <si>
    <t>보험영업비용 (-)</t>
    <phoneticPr fontId="2" type="noConversion"/>
  </si>
  <si>
    <t>자동차보험</t>
    <phoneticPr fontId="2" type="noConversion"/>
  </si>
  <si>
    <t>일반계정</t>
    <phoneticPr fontId="2" type="noConversion"/>
  </si>
  <si>
    <t>퇴직계정</t>
    <phoneticPr fontId="2" type="noConversion"/>
  </si>
  <si>
    <t>일반계정</t>
    <phoneticPr fontId="2" type="noConversion"/>
  </si>
  <si>
    <t>퇴직계정</t>
    <phoneticPr fontId="2" type="noConversion"/>
  </si>
  <si>
    <t>원수검증</t>
    <phoneticPr fontId="2" type="noConversion"/>
  </si>
  <si>
    <t>세전이익검증</t>
    <phoneticPr fontId="2" type="noConversion"/>
  </si>
  <si>
    <t>투자손익(공시용)검증</t>
    <phoneticPr fontId="2" type="noConversion"/>
  </si>
  <si>
    <t>CSM기말잔액(원수)</t>
    <phoneticPr fontId="2" type="noConversion"/>
  </si>
  <si>
    <t>자산총계</t>
    <phoneticPr fontId="2" type="noConversion"/>
  </si>
  <si>
    <t>자본총계</t>
    <phoneticPr fontId="2" type="noConversion"/>
  </si>
  <si>
    <t>3. CSM무브먼트</t>
    <phoneticPr fontId="2" type="noConversion"/>
  </si>
  <si>
    <t>기초CSM</t>
    <phoneticPr fontId="2" type="noConversion"/>
  </si>
  <si>
    <t>신계약CSM</t>
    <phoneticPr fontId="2" type="noConversion"/>
  </si>
  <si>
    <t>이자부리</t>
    <phoneticPr fontId="2" type="noConversion"/>
  </si>
  <si>
    <t>CSM조정</t>
    <phoneticPr fontId="2" type="noConversion"/>
  </si>
  <si>
    <t>CSM상각</t>
    <phoneticPr fontId="2" type="noConversion"/>
  </si>
  <si>
    <t>기말CSM</t>
    <phoneticPr fontId="2" type="noConversion"/>
  </si>
  <si>
    <t>기말CSM검증</t>
    <phoneticPr fontId="2" type="noConversion"/>
  </si>
  <si>
    <t>(단위 : 억원)</t>
    <phoneticPr fontId="2" type="noConversion"/>
  </si>
  <si>
    <t>2Q누계</t>
    <phoneticPr fontId="2" type="noConversion"/>
  </si>
  <si>
    <t>2Q누계</t>
    <phoneticPr fontId="2" type="noConversion"/>
  </si>
  <si>
    <t>산출중</t>
    <phoneticPr fontId="2" type="noConversion"/>
  </si>
  <si>
    <t xml:space="preserve">                 -</t>
    <phoneticPr fontId="2" type="noConversion"/>
  </si>
  <si>
    <t>(단위:백만원)</t>
    <phoneticPr fontId="10" type="noConversion"/>
  </si>
  <si>
    <t>합    계</t>
    <phoneticPr fontId="2" type="noConversion"/>
  </si>
  <si>
    <t>주) 원수보험료 기준</t>
    <phoneticPr fontId="2" type="noConversion"/>
  </si>
  <si>
    <t>-</t>
  </si>
  <si>
    <t>구 분</t>
    <phoneticPr fontId="2" type="noConversion"/>
  </si>
  <si>
    <t>23.2Q
누계</t>
    <phoneticPr fontId="2" type="noConversion"/>
  </si>
  <si>
    <t>22.2Q
누계</t>
    <phoneticPr fontId="2" type="noConversion"/>
  </si>
  <si>
    <t>YoY</t>
    <phoneticPr fontId="2" type="noConversion"/>
  </si>
  <si>
    <t>구성비</t>
    <phoneticPr fontId="2" type="noConversion"/>
  </si>
  <si>
    <t>구성비</t>
    <phoneticPr fontId="2" type="noConversion"/>
  </si>
  <si>
    <t>장    기</t>
    <phoneticPr fontId="2" type="noConversion"/>
  </si>
  <si>
    <t>보장성</t>
    <phoneticPr fontId="2" type="noConversion"/>
  </si>
  <si>
    <t>일    반</t>
    <phoneticPr fontId="2" type="noConversion"/>
  </si>
  <si>
    <t>※ 장기보험 신규 월납 실적</t>
    <phoneticPr fontId="16" type="noConversion"/>
  </si>
  <si>
    <t>주) CSM 잔액 : 원수 기준</t>
    <phoneticPr fontId="2" type="noConversion"/>
  </si>
  <si>
    <t>주) 지급여력비율 : 경과조치 적용후 기준임 / 23년 6월말 기준은 확정 후 추후 공시 예정임</t>
    <phoneticPr fontId="2" type="noConversion"/>
  </si>
  <si>
    <t>Ⅳ. 요약 손익계산서</t>
    <phoneticPr fontId="2" type="noConversion"/>
  </si>
  <si>
    <t>Ⅴ. 요약 재무상태표</t>
    <phoneticPr fontId="2" type="noConversion"/>
  </si>
  <si>
    <t>IV. 요약 손익계산서</t>
    <phoneticPr fontId="3" type="noConversion"/>
  </si>
  <si>
    <t>V. 요약 재무상태표</t>
    <phoneticPr fontId="3" type="noConversion"/>
  </si>
  <si>
    <t xml:space="preserve">본 페이지는 DART 공시 제79기 반기보고서 &gt; III. 재무에 관한 사항  1. 요약재무정보를 참고하여 주시기 바랍니다.  </t>
    <phoneticPr fontId="2" type="noConversion"/>
  </si>
  <si>
    <t xml:space="preserve">본 페이지는 DART 공시 제79기 반기보고서 &gt; III. 재무에 관한 사항  1. 요약재무정보를 참고하여 주시기 바랍니다. 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</si>
</sst>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0.0%"/>
    <numFmt numFmtId="177" formatCode="0_ ;[Red]\-0\ "/>
    <numFmt numFmtId="178" formatCode="#,##0_ ;[Red]\-#,##0\ "/>
    <numFmt numFmtId="179" formatCode="#,##0\ ;\ \▲#,##0\ ;&quot;- &quot;"/>
    <numFmt numFmtId="180" formatCode="0.0"/>
    <numFmt numFmtId="181" formatCode="_-* #,##0.0_-;\-* #,##0.0_-;_-* &quot;-&quot;_-;_-@_-"/>
  </numFmts>
  <fonts count="3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13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9"/>
      <name val="현대해상 고딕 Light"/>
      <family val="3"/>
      <charset val="129"/>
    </font>
    <font>
      <sz val="9"/>
      <name val="현대해상 고딕 Light"/>
      <family val="3"/>
      <charset val="129"/>
    </font>
    <font>
      <sz val="8"/>
      <name val="바탕"/>
      <family val="1"/>
      <charset val="129"/>
    </font>
    <font>
      <b/>
      <sz val="9"/>
      <color theme="1"/>
      <name val="맑은 고딕"/>
      <family val="3"/>
      <charset val="129"/>
      <scheme val="minor"/>
    </font>
    <font>
      <sz val="11"/>
      <color theme="1"/>
      <name val="현대해상 고딕 Light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13"/>
      <name val="맑은 고딕"/>
      <family val="3"/>
      <charset val="129"/>
    </font>
    <font>
      <b/>
      <sz val="9"/>
      <name val="맑은 고딕"/>
      <family val="3"/>
      <charset val="129"/>
    </font>
    <font>
      <sz val="11"/>
      <name val="굴림체"/>
      <family val="3"/>
      <charset val="129"/>
    </font>
    <font>
      <sz val="8"/>
      <name val="바탕체"/>
      <family val="1"/>
      <charset val="129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8"/>
      <color theme="0"/>
      <name val="Noto Sans CJK KR Bold"/>
      <family val="2"/>
      <charset val="129"/>
    </font>
    <font>
      <sz val="36"/>
      <color theme="0"/>
      <name val="Noto Sans CJK KR Bold"/>
      <family val="2"/>
      <charset val="129"/>
    </font>
    <font>
      <b/>
      <sz val="18"/>
      <color rgb="FFFFFFFF"/>
      <name val="맑은 고딕"/>
      <family val="3"/>
      <charset val="129"/>
    </font>
    <font>
      <sz val="16"/>
      <name val="바탕체"/>
      <family val="1"/>
      <charset val="129"/>
    </font>
    <font>
      <sz val="16"/>
      <color rgb="FFFFFFFF"/>
      <name val="맑은 고딕"/>
      <family val="3"/>
      <charset val="129"/>
    </font>
    <font>
      <sz val="11"/>
      <color rgb="FFFF00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9"/>
      <color theme="1"/>
      <name val="현대해상 고딕 Light"/>
      <family val="3"/>
      <charset val="129"/>
    </font>
    <font>
      <b/>
      <sz val="12"/>
      <name val="맑은 고딕"/>
      <family val="3"/>
      <charset val="129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4851"/>
        <bgColor indexed="64"/>
      </patternFill>
    </fill>
    <fill>
      <patternFill patternType="solid">
        <fgColor rgb="FF575757"/>
        <bgColor indexed="64"/>
      </patternFill>
    </fill>
    <fill>
      <patternFill patternType="solid">
        <fgColor rgb="FF9BD3DD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CCDAD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4854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9" tint="0.79998168889431442"/>
        <bgColor indexed="64"/>
      </patternFill>
    </fill>
  </fills>
  <borders count="12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hair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hair">
        <color indexed="64"/>
      </left>
      <right/>
      <top style="double">
        <color indexed="64"/>
      </top>
      <bottom/>
      <diagonal/>
    </border>
    <border>
      <left style="medium">
        <color indexed="64"/>
      </left>
      <right/>
      <top style="double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auto="1"/>
      </top>
      <bottom style="thin">
        <color auto="1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auto="1"/>
      </top>
      <bottom/>
      <diagonal/>
    </border>
    <border>
      <left style="hair">
        <color indexed="64"/>
      </left>
      <right style="hair">
        <color indexed="64"/>
      </right>
      <top/>
      <bottom style="thin">
        <color auto="1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double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double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hair">
        <color indexed="64"/>
      </right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488">
    <xf numFmtId="0" fontId="0" fillId="0" borderId="0" xfId="0">
      <alignment vertical="center"/>
    </xf>
    <xf numFmtId="38" fontId="5" fillId="2" borderId="0" xfId="0" applyNumberFormat="1" applyFont="1" applyFill="1" applyBorder="1" applyAlignment="1">
      <alignment vertical="center"/>
    </xf>
    <xf numFmtId="38" fontId="6" fillId="2" borderId="0" xfId="0" applyNumberFormat="1" applyFont="1" applyFill="1" applyBorder="1" applyAlignment="1">
      <alignment vertical="center"/>
    </xf>
    <xf numFmtId="38" fontId="7" fillId="2" borderId="0" xfId="0" applyNumberFormat="1" applyFont="1" applyFill="1" applyBorder="1" applyAlignment="1">
      <alignment vertical="center"/>
    </xf>
    <xf numFmtId="176" fontId="7" fillId="2" borderId="0" xfId="0" applyNumberFormat="1" applyFont="1" applyFill="1" applyBorder="1" applyAlignment="1">
      <alignment horizontal="center" vertical="center"/>
    </xf>
    <xf numFmtId="176" fontId="7" fillId="2" borderId="0" xfId="0" applyNumberFormat="1" applyFont="1" applyFill="1" applyBorder="1" applyAlignment="1">
      <alignment vertical="center"/>
    </xf>
    <xf numFmtId="38" fontId="8" fillId="2" borderId="0" xfId="0" applyNumberFormat="1" applyFont="1" applyFill="1" applyBorder="1" applyAlignment="1">
      <alignment vertical="center"/>
    </xf>
    <xf numFmtId="176" fontId="5" fillId="2" borderId="0" xfId="0" applyNumberFormat="1" applyFont="1" applyFill="1" applyBorder="1" applyAlignment="1">
      <alignment vertical="center"/>
    </xf>
    <xf numFmtId="0" fontId="9" fillId="2" borderId="0" xfId="0" applyFont="1" applyFill="1" applyAlignment="1"/>
    <xf numFmtId="176" fontId="5" fillId="2" borderId="0" xfId="0" applyNumberFormat="1" applyFont="1" applyFill="1" applyBorder="1" applyAlignment="1">
      <alignment horizontal="right" vertical="center"/>
    </xf>
    <xf numFmtId="38" fontId="7" fillId="2" borderId="0" xfId="0" quotePrefix="1" applyNumberFormat="1" applyFont="1" applyFill="1" applyBorder="1" applyAlignment="1">
      <alignment vertical="center"/>
    </xf>
    <xf numFmtId="0" fontId="4" fillId="2" borderId="0" xfId="0" applyFont="1" applyFill="1">
      <alignment vertical="center"/>
    </xf>
    <xf numFmtId="178" fontId="11" fillId="2" borderId="20" xfId="1" applyNumberFormat="1" applyFont="1" applyFill="1" applyBorder="1" applyAlignment="1">
      <alignment vertical="center" shrinkToFit="1"/>
    </xf>
    <xf numFmtId="178" fontId="11" fillId="2" borderId="23" xfId="2" applyNumberFormat="1" applyFont="1" applyFill="1" applyBorder="1" applyAlignment="1">
      <alignment vertical="center" shrinkToFit="1"/>
    </xf>
    <xf numFmtId="178" fontId="11" fillId="2" borderId="25" xfId="1" applyNumberFormat="1" applyFont="1" applyFill="1" applyBorder="1" applyAlignment="1">
      <alignment vertical="center" shrinkToFit="1"/>
    </xf>
    <xf numFmtId="0" fontId="12" fillId="2" borderId="0" xfId="0" applyFont="1" applyFill="1">
      <alignment vertical="center"/>
    </xf>
    <xf numFmtId="178" fontId="11" fillId="2" borderId="0" xfId="1" applyNumberFormat="1" applyFont="1" applyFill="1" applyBorder="1" applyAlignment="1">
      <alignment vertical="center" shrinkToFit="1"/>
    </xf>
    <xf numFmtId="176" fontId="11" fillId="2" borderId="33" xfId="2" applyNumberFormat="1" applyFont="1" applyFill="1" applyBorder="1" applyAlignment="1">
      <alignment vertical="center" shrinkToFit="1"/>
    </xf>
    <xf numFmtId="176" fontId="11" fillId="2" borderId="34" xfId="2" applyNumberFormat="1" applyFont="1" applyFill="1" applyBorder="1" applyAlignment="1">
      <alignment vertical="center" shrinkToFit="1"/>
    </xf>
    <xf numFmtId="176" fontId="13" fillId="2" borderId="26" xfId="2" applyNumberFormat="1" applyFont="1" applyFill="1" applyBorder="1" applyAlignment="1">
      <alignment vertical="center" shrinkToFit="1"/>
    </xf>
    <xf numFmtId="176" fontId="13" fillId="2" borderId="8" xfId="2" applyNumberFormat="1" applyFont="1" applyFill="1" applyBorder="1" applyAlignment="1">
      <alignment vertical="center" shrinkToFit="1"/>
    </xf>
    <xf numFmtId="178" fontId="11" fillId="2" borderId="0" xfId="2" applyNumberFormat="1" applyFont="1" applyFill="1" applyBorder="1" applyAlignment="1">
      <alignment vertical="center" shrinkToFit="1"/>
    </xf>
    <xf numFmtId="41" fontId="11" fillId="2" borderId="56" xfId="1" applyFont="1" applyFill="1" applyBorder="1" applyAlignment="1">
      <alignment vertical="center" shrinkToFit="1"/>
    </xf>
    <xf numFmtId="0" fontId="13" fillId="2" borderId="0" xfId="0" applyFont="1" applyFill="1">
      <alignment vertical="center"/>
    </xf>
    <xf numFmtId="0" fontId="11" fillId="2" borderId="0" xfId="0" applyFont="1" applyFill="1" applyBorder="1" applyAlignment="1">
      <alignment horizontal="center" vertical="center"/>
    </xf>
    <xf numFmtId="176" fontId="11" fillId="2" borderId="0" xfId="2" applyNumberFormat="1" applyFont="1" applyFill="1" applyBorder="1" applyAlignment="1">
      <alignment vertical="center" shrinkToFit="1"/>
    </xf>
    <xf numFmtId="41" fontId="11" fillId="2" borderId="0" xfId="1" applyFont="1" applyFill="1" applyBorder="1" applyAlignment="1">
      <alignment vertical="center" shrinkToFit="1"/>
    </xf>
    <xf numFmtId="178" fontId="11" fillId="2" borderId="0" xfId="0" applyNumberFormat="1" applyFont="1" applyFill="1" applyBorder="1" applyAlignment="1">
      <alignment vertical="center" shrinkToFit="1"/>
    </xf>
    <xf numFmtId="176" fontId="11" fillId="2" borderId="24" xfId="2" applyNumberFormat="1" applyFont="1" applyFill="1" applyBorder="1" applyAlignment="1">
      <alignment vertical="center" shrinkToFit="1"/>
    </xf>
    <xf numFmtId="38" fontId="5" fillId="3" borderId="0" xfId="0" applyNumberFormat="1" applyFont="1" applyFill="1" applyBorder="1" applyAlignment="1">
      <alignment vertical="center"/>
    </xf>
    <xf numFmtId="176" fontId="5" fillId="3" borderId="0" xfId="0" applyNumberFormat="1" applyFont="1" applyFill="1" applyBorder="1" applyAlignment="1">
      <alignment vertical="center"/>
    </xf>
    <xf numFmtId="38" fontId="14" fillId="2" borderId="0" xfId="0" applyNumberFormat="1" applyFont="1" applyFill="1" applyBorder="1" applyAlignment="1">
      <alignment vertical="center"/>
    </xf>
    <xf numFmtId="176" fontId="13" fillId="2" borderId="62" xfId="2" applyNumberFormat="1" applyFont="1" applyFill="1" applyBorder="1" applyAlignment="1">
      <alignment vertical="center" shrinkToFit="1"/>
    </xf>
    <xf numFmtId="176" fontId="11" fillId="2" borderId="62" xfId="2" applyNumberFormat="1" applyFont="1" applyFill="1" applyBorder="1" applyAlignment="1">
      <alignment vertical="center" shrinkToFit="1"/>
    </xf>
    <xf numFmtId="0" fontId="4" fillId="2" borderId="0" xfId="0" applyFont="1" applyFill="1" applyBorder="1">
      <alignment vertical="center"/>
    </xf>
    <xf numFmtId="0" fontId="11" fillId="2" borderId="0" xfId="0" quotePrefix="1" applyFont="1" applyFill="1" applyBorder="1" applyAlignment="1">
      <alignment horizontal="left" vertical="center" indent="1"/>
    </xf>
    <xf numFmtId="0" fontId="13" fillId="2" borderId="0" xfId="0" quotePrefix="1" applyFont="1" applyFill="1" applyBorder="1" applyAlignment="1">
      <alignment horizontal="left" vertical="center" indent="1"/>
    </xf>
    <xf numFmtId="176" fontId="13" fillId="2" borderId="37" xfId="2" applyNumberFormat="1" applyFont="1" applyFill="1" applyBorder="1" applyAlignment="1">
      <alignment vertical="center" shrinkToFit="1"/>
    </xf>
    <xf numFmtId="176" fontId="13" fillId="2" borderId="39" xfId="2" applyNumberFormat="1" applyFont="1" applyFill="1" applyBorder="1" applyAlignment="1">
      <alignment vertical="center" shrinkToFit="1"/>
    </xf>
    <xf numFmtId="0" fontId="0" fillId="2" borderId="0" xfId="0" applyFill="1">
      <alignment vertical="center"/>
    </xf>
    <xf numFmtId="38" fontId="14" fillId="0" borderId="0" xfId="0" applyNumberFormat="1" applyFont="1" applyFill="1" applyBorder="1" applyAlignment="1">
      <alignment vertical="center"/>
    </xf>
    <xf numFmtId="176" fontId="11" fillId="2" borderId="22" xfId="2" applyNumberFormat="1" applyFont="1" applyFill="1" applyBorder="1" applyAlignment="1">
      <alignment horizontal="right" vertical="center" shrinkToFit="1"/>
    </xf>
    <xf numFmtId="176" fontId="13" fillId="2" borderId="26" xfId="2" applyNumberFormat="1" applyFont="1" applyFill="1" applyBorder="1" applyAlignment="1">
      <alignment horizontal="right" vertical="center" shrinkToFit="1"/>
    </xf>
    <xf numFmtId="176" fontId="13" fillId="2" borderId="8" xfId="2" applyNumberFormat="1" applyFont="1" applyFill="1" applyBorder="1" applyAlignment="1">
      <alignment horizontal="right" vertical="center" shrinkToFit="1"/>
    </xf>
    <xf numFmtId="176" fontId="13" fillId="2" borderId="43" xfId="2" applyNumberFormat="1" applyFont="1" applyFill="1" applyBorder="1" applyAlignment="1">
      <alignment horizontal="right" vertical="center" shrinkToFit="1"/>
    </xf>
    <xf numFmtId="176" fontId="13" fillId="2" borderId="45" xfId="2" applyNumberFormat="1" applyFont="1" applyFill="1" applyBorder="1" applyAlignment="1">
      <alignment horizontal="right" vertical="center" shrinkToFit="1"/>
    </xf>
    <xf numFmtId="176" fontId="11" fillId="2" borderId="69" xfId="2" applyNumberFormat="1" applyFont="1" applyFill="1" applyBorder="1" applyAlignment="1">
      <alignment horizontal="right" vertical="center" shrinkToFit="1"/>
    </xf>
    <xf numFmtId="176" fontId="11" fillId="2" borderId="62" xfId="2" applyNumberFormat="1" applyFont="1" applyFill="1" applyBorder="1" applyAlignment="1">
      <alignment horizontal="right" vertical="center" shrinkToFit="1"/>
    </xf>
    <xf numFmtId="176" fontId="11" fillId="2" borderId="33" xfId="2" applyNumberFormat="1" applyFont="1" applyFill="1" applyBorder="1" applyAlignment="1">
      <alignment horizontal="right" vertical="center" shrinkToFit="1"/>
    </xf>
    <xf numFmtId="176" fontId="11" fillId="2" borderId="34" xfId="2" applyNumberFormat="1" applyFont="1" applyFill="1" applyBorder="1" applyAlignment="1">
      <alignment horizontal="right" vertical="center" shrinkToFit="1"/>
    </xf>
    <xf numFmtId="176" fontId="11" fillId="2" borderId="37" xfId="2" applyNumberFormat="1" applyFont="1" applyFill="1" applyBorder="1" applyAlignment="1">
      <alignment horizontal="right" vertical="center" shrinkToFit="1"/>
    </xf>
    <xf numFmtId="176" fontId="11" fillId="2" borderId="39" xfId="2" applyNumberFormat="1" applyFont="1" applyFill="1" applyBorder="1" applyAlignment="1">
      <alignment horizontal="right" vertical="center" shrinkToFit="1"/>
    </xf>
    <xf numFmtId="176" fontId="13" fillId="2" borderId="49" xfId="2" applyNumberFormat="1" applyFont="1" applyFill="1" applyBorder="1" applyAlignment="1">
      <alignment horizontal="right" vertical="center" shrinkToFit="1"/>
    </xf>
    <xf numFmtId="176" fontId="13" fillId="2" borderId="51" xfId="2" applyNumberFormat="1" applyFont="1" applyFill="1" applyBorder="1" applyAlignment="1">
      <alignment horizontal="right" vertical="center" shrinkToFit="1"/>
    </xf>
    <xf numFmtId="176" fontId="13" fillId="2" borderId="66" xfId="2" applyNumberFormat="1" applyFont="1" applyFill="1" applyBorder="1" applyAlignment="1">
      <alignment horizontal="right" vertical="center" shrinkToFit="1"/>
    </xf>
    <xf numFmtId="176" fontId="13" fillId="2" borderId="9" xfId="2" applyNumberFormat="1" applyFont="1" applyFill="1" applyBorder="1" applyAlignment="1">
      <alignment horizontal="right" vertical="center" shrinkToFit="1"/>
    </xf>
    <xf numFmtId="176" fontId="13" fillId="2" borderId="83" xfId="2" applyNumberFormat="1" applyFont="1" applyFill="1" applyBorder="1" applyAlignment="1">
      <alignment horizontal="right" vertical="center" shrinkToFit="1"/>
    </xf>
    <xf numFmtId="176" fontId="13" fillId="2" borderId="59" xfId="2" applyNumberFormat="1" applyFont="1" applyFill="1" applyBorder="1" applyAlignment="1">
      <alignment horizontal="right" vertical="center" shrinkToFit="1"/>
    </xf>
    <xf numFmtId="0" fontId="18" fillId="2" borderId="0" xfId="0" applyFont="1" applyFill="1">
      <alignment vertical="center"/>
    </xf>
    <xf numFmtId="176" fontId="11" fillId="2" borderId="26" xfId="2" applyNumberFormat="1" applyFont="1" applyFill="1" applyBorder="1" applyAlignment="1">
      <alignment horizontal="right" vertical="center" shrinkToFit="1"/>
    </xf>
    <xf numFmtId="0" fontId="13" fillId="0" borderId="0" xfId="0" applyFont="1">
      <alignment vertical="center"/>
    </xf>
    <xf numFmtId="38" fontId="5" fillId="2" borderId="0" xfId="0" applyNumberFormat="1" applyFont="1" applyFill="1" applyBorder="1" applyAlignment="1">
      <alignment horizontal="right" vertical="center"/>
    </xf>
    <xf numFmtId="178" fontId="19" fillId="2" borderId="0" xfId="0" applyNumberFormat="1" applyFont="1" applyFill="1" applyBorder="1" applyAlignment="1">
      <alignment vertical="center"/>
    </xf>
    <xf numFmtId="0" fontId="0" fillId="2" borderId="0" xfId="0" applyFill="1" applyAlignment="1"/>
    <xf numFmtId="0" fontId="0" fillId="4" borderId="0" xfId="0" applyFill="1" applyAlignment="1"/>
    <xf numFmtId="0" fontId="20" fillId="4" borderId="0" xfId="0" applyFont="1" applyFill="1" applyAlignment="1"/>
    <xf numFmtId="0" fontId="21" fillId="4" borderId="0" xfId="0" applyFont="1" applyFill="1" applyAlignment="1"/>
    <xf numFmtId="0" fontId="22" fillId="4" borderId="0" xfId="0" applyFont="1" applyFill="1" applyAlignment="1">
      <alignment horizontal="left" vertical="center" readingOrder="1"/>
    </xf>
    <xf numFmtId="0" fontId="23" fillId="4" borderId="0" xfId="0" applyFont="1" applyFill="1" applyAlignment="1"/>
    <xf numFmtId="0" fontId="24" fillId="4" borderId="0" xfId="0" applyFont="1" applyFill="1" applyAlignment="1">
      <alignment horizontal="left" vertical="center" readingOrder="1"/>
    </xf>
    <xf numFmtId="38" fontId="15" fillId="2" borderId="54" xfId="0" applyNumberFormat="1" applyFont="1" applyFill="1" applyBorder="1" applyAlignment="1">
      <alignment vertical="center"/>
    </xf>
    <xf numFmtId="38" fontId="15" fillId="2" borderId="0" xfId="0" applyNumberFormat="1" applyFont="1" applyFill="1" applyBorder="1" applyAlignment="1">
      <alignment vertical="center"/>
    </xf>
    <xf numFmtId="0" fontId="0" fillId="0" borderId="0" xfId="0" applyFill="1">
      <alignment vertical="center"/>
    </xf>
    <xf numFmtId="176" fontId="7" fillId="5" borderId="0" xfId="0" quotePrefix="1" applyNumberFormat="1" applyFont="1" applyFill="1" applyBorder="1" applyAlignment="1">
      <alignment horizontal="center" vertical="center"/>
    </xf>
    <xf numFmtId="176" fontId="7" fillId="5" borderId="0" xfId="0" applyNumberFormat="1" applyFont="1" applyFill="1" applyBorder="1" applyAlignment="1">
      <alignment horizontal="right" vertical="center"/>
    </xf>
    <xf numFmtId="176" fontId="5" fillId="5" borderId="17" xfId="0" applyNumberFormat="1" applyFont="1" applyFill="1" applyBorder="1" applyAlignment="1">
      <alignment horizontal="center" vertical="center"/>
    </xf>
    <xf numFmtId="176" fontId="5" fillId="5" borderId="71" xfId="0" applyNumberFormat="1" applyFont="1" applyFill="1" applyBorder="1" applyAlignment="1">
      <alignment horizontal="center" vertical="center"/>
    </xf>
    <xf numFmtId="0" fontId="13" fillId="5" borderId="58" xfId="0" quotePrefix="1" applyFont="1" applyFill="1" applyBorder="1" applyAlignment="1">
      <alignment horizontal="left" vertical="center" indent="1"/>
    </xf>
    <xf numFmtId="0" fontId="13" fillId="5" borderId="0" xfId="0" quotePrefix="1" applyFont="1" applyFill="1" applyBorder="1" applyAlignment="1">
      <alignment horizontal="left" vertical="center" indent="1"/>
    </xf>
    <xf numFmtId="0" fontId="13" fillId="5" borderId="14" xfId="0" applyFont="1" applyFill="1" applyBorder="1" applyAlignment="1">
      <alignment horizontal="left" vertical="center" indent="1"/>
    </xf>
    <xf numFmtId="0" fontId="11" fillId="5" borderId="20" xfId="0" applyFont="1" applyFill="1" applyBorder="1" applyAlignment="1">
      <alignment horizontal="left" vertical="center" indent="1"/>
    </xf>
    <xf numFmtId="0" fontId="11" fillId="5" borderId="60" xfId="0" applyFont="1" applyFill="1" applyBorder="1" applyAlignment="1">
      <alignment horizontal="left" vertical="center" indent="1"/>
    </xf>
    <xf numFmtId="0" fontId="13" fillId="5" borderId="61" xfId="0" applyFont="1" applyFill="1" applyBorder="1" applyAlignment="1">
      <alignment horizontal="left" vertical="center" indent="1"/>
    </xf>
    <xf numFmtId="0" fontId="13" fillId="5" borderId="61" xfId="0" quotePrefix="1" applyFont="1" applyFill="1" applyBorder="1" applyAlignment="1">
      <alignment horizontal="left" vertical="center" indent="1"/>
    </xf>
    <xf numFmtId="0" fontId="11" fillId="5" borderId="0" xfId="0" applyFont="1" applyFill="1" applyBorder="1" applyAlignment="1">
      <alignment horizontal="left" vertical="center" indent="1"/>
    </xf>
    <xf numFmtId="0" fontId="13" fillId="5" borderId="14" xfId="0" quotePrefix="1" applyFont="1" applyFill="1" applyBorder="1" applyAlignment="1">
      <alignment horizontal="left" vertical="center" indent="1"/>
    </xf>
    <xf numFmtId="0" fontId="11" fillId="5" borderId="32" xfId="0" quotePrefix="1" applyFont="1" applyFill="1" applyBorder="1" applyAlignment="1">
      <alignment horizontal="left" vertical="center" indent="1"/>
    </xf>
    <xf numFmtId="0" fontId="13" fillId="5" borderId="31" xfId="0" quotePrefix="1" applyFont="1" applyFill="1" applyBorder="1" applyAlignment="1">
      <alignment horizontal="left" vertical="center" indent="1"/>
    </xf>
    <xf numFmtId="0" fontId="13" fillId="5" borderId="10" xfId="0" quotePrefix="1" applyFont="1" applyFill="1" applyBorder="1" applyAlignment="1">
      <alignment horizontal="left" vertical="center" indent="1"/>
    </xf>
    <xf numFmtId="0" fontId="13" fillId="5" borderId="10" xfId="0" quotePrefix="1" applyFont="1" applyFill="1" applyBorder="1" applyAlignment="1">
      <alignment horizontal="left" vertical="center"/>
    </xf>
    <xf numFmtId="0" fontId="13" fillId="5" borderId="11" xfId="0" quotePrefix="1" applyFont="1" applyFill="1" applyBorder="1" applyAlignment="1">
      <alignment horizontal="left" vertical="center" indent="1"/>
    </xf>
    <xf numFmtId="0" fontId="13" fillId="5" borderId="0" xfId="0" quotePrefix="1" applyFont="1" applyFill="1" applyBorder="1" applyAlignment="1">
      <alignment horizontal="left" vertical="center"/>
    </xf>
    <xf numFmtId="0" fontId="13" fillId="5" borderId="65" xfId="0" applyFont="1" applyFill="1" applyBorder="1" applyAlignment="1">
      <alignment horizontal="left" vertical="center" indent="1"/>
    </xf>
    <xf numFmtId="0" fontId="11" fillId="5" borderId="60" xfId="0" quotePrefix="1" applyFont="1" applyFill="1" applyBorder="1" applyAlignment="1">
      <alignment horizontal="left" vertical="center" indent="1"/>
    </xf>
    <xf numFmtId="0" fontId="11" fillId="5" borderId="32" xfId="0" quotePrefix="1" applyFont="1" applyFill="1" applyBorder="1" applyAlignment="1">
      <alignment horizontal="left" vertical="center"/>
    </xf>
    <xf numFmtId="0" fontId="13" fillId="5" borderId="21" xfId="0" quotePrefix="1" applyFont="1" applyFill="1" applyBorder="1" applyAlignment="1">
      <alignment horizontal="left" vertical="center" indent="1"/>
    </xf>
    <xf numFmtId="0" fontId="11" fillId="5" borderId="14" xfId="0" applyFont="1" applyFill="1" applyBorder="1" applyAlignment="1">
      <alignment horizontal="left" vertical="center" indent="1"/>
    </xf>
    <xf numFmtId="0" fontId="11" fillId="5" borderId="1" xfId="0" applyFont="1" applyFill="1" applyBorder="1" applyAlignment="1">
      <alignment horizontal="left" vertical="center" indent="1"/>
    </xf>
    <xf numFmtId="176" fontId="5" fillId="5" borderId="6" xfId="0" applyNumberFormat="1" applyFont="1" applyFill="1" applyBorder="1" applyAlignment="1">
      <alignment horizontal="center" vertical="center"/>
    </xf>
    <xf numFmtId="0" fontId="11" fillId="5" borderId="10" xfId="0" quotePrefix="1" applyFont="1" applyFill="1" applyBorder="1" applyAlignment="1">
      <alignment horizontal="left" vertical="center" indent="1"/>
    </xf>
    <xf numFmtId="0" fontId="13" fillId="5" borderId="41" xfId="0" quotePrefix="1" applyFont="1" applyFill="1" applyBorder="1" applyAlignment="1">
      <alignment horizontal="left" vertical="center" indent="1"/>
    </xf>
    <xf numFmtId="0" fontId="13" fillId="5" borderId="47" xfId="0" quotePrefix="1" applyFont="1" applyFill="1" applyBorder="1" applyAlignment="1">
      <alignment horizontal="left" vertical="center" indent="1"/>
    </xf>
    <xf numFmtId="178" fontId="13" fillId="5" borderId="102" xfId="2" applyNumberFormat="1" applyFont="1" applyFill="1" applyBorder="1" applyAlignment="1">
      <alignment vertical="center" shrinkToFit="1"/>
    </xf>
    <xf numFmtId="178" fontId="13" fillId="5" borderId="45" xfId="2" applyNumberFormat="1" applyFont="1" applyFill="1" applyBorder="1" applyAlignment="1">
      <alignment horizontal="center" vertical="center" shrinkToFit="1"/>
    </xf>
    <xf numFmtId="176" fontId="7" fillId="5" borderId="14" xfId="0" applyNumberFormat="1" applyFont="1" applyFill="1" applyBorder="1" applyAlignment="1">
      <alignment horizontal="right" vertical="center"/>
    </xf>
    <xf numFmtId="0" fontId="11" fillId="5" borderId="20" xfId="0" quotePrefix="1" applyFont="1" applyFill="1" applyBorder="1" applyAlignment="1">
      <alignment horizontal="left" vertical="center" indent="1"/>
    </xf>
    <xf numFmtId="0" fontId="11" fillId="5" borderId="0" xfId="0" quotePrefix="1" applyFont="1" applyFill="1" applyBorder="1" applyAlignment="1">
      <alignment horizontal="left" vertical="center" indent="1"/>
    </xf>
    <xf numFmtId="0" fontId="11" fillId="5" borderId="30" xfId="0" applyFont="1" applyFill="1" applyBorder="1" applyAlignment="1">
      <alignment horizontal="left" vertical="center" indent="1"/>
    </xf>
    <xf numFmtId="0" fontId="11" fillId="5" borderId="31" xfId="0" applyFont="1" applyFill="1" applyBorder="1" applyAlignment="1">
      <alignment horizontal="left" vertical="center" indent="1"/>
    </xf>
    <xf numFmtId="0" fontId="11" fillId="5" borderId="30" xfId="0" quotePrefix="1" applyFont="1" applyFill="1" applyBorder="1" applyAlignment="1">
      <alignment horizontal="left" vertical="center" indent="1"/>
    </xf>
    <xf numFmtId="0" fontId="11" fillId="5" borderId="38" xfId="0" applyFont="1" applyFill="1" applyBorder="1" applyAlignment="1">
      <alignment horizontal="left" vertical="center" indent="1"/>
    </xf>
    <xf numFmtId="0" fontId="13" fillId="5" borderId="11" xfId="0" applyFont="1" applyFill="1" applyBorder="1" applyAlignment="1">
      <alignment horizontal="left" vertical="center" indent="1"/>
    </xf>
    <xf numFmtId="0" fontId="13" fillId="5" borderId="31" xfId="0" applyFont="1" applyFill="1" applyBorder="1" applyAlignment="1">
      <alignment horizontal="left" vertical="center" indent="1"/>
    </xf>
    <xf numFmtId="176" fontId="5" fillId="5" borderId="70" xfId="0" applyNumberFormat="1" applyFont="1" applyFill="1" applyBorder="1" applyAlignment="1">
      <alignment horizontal="center" vertical="center"/>
    </xf>
    <xf numFmtId="0" fontId="11" fillId="5" borderId="61" xfId="0" applyFont="1" applyFill="1" applyBorder="1" applyAlignment="1">
      <alignment horizontal="left" vertical="center" indent="1"/>
    </xf>
    <xf numFmtId="179" fontId="0" fillId="2" borderId="0" xfId="0" applyNumberFormat="1" applyFill="1">
      <alignment vertical="center"/>
    </xf>
    <xf numFmtId="41" fontId="0" fillId="0" borderId="0" xfId="1" applyFont="1">
      <alignment vertical="center"/>
    </xf>
    <xf numFmtId="0" fontId="0" fillId="7" borderId="0" xfId="0" applyFill="1">
      <alignment vertical="center"/>
    </xf>
    <xf numFmtId="41" fontId="0" fillId="7" borderId="0" xfId="1" applyFont="1" applyFill="1">
      <alignment vertical="center"/>
    </xf>
    <xf numFmtId="0" fontId="0" fillId="8" borderId="0" xfId="0" applyFill="1">
      <alignment vertical="center"/>
    </xf>
    <xf numFmtId="180" fontId="0" fillId="2" borderId="0" xfId="0" applyNumberFormat="1" applyFill="1">
      <alignment vertical="center"/>
    </xf>
    <xf numFmtId="0" fontId="0" fillId="2" borderId="0" xfId="0" applyFill="1" applyAlignment="1">
      <alignment horizontal="center" vertical="center"/>
    </xf>
    <xf numFmtId="0" fontId="0" fillId="2" borderId="3" xfId="0" applyFill="1" applyBorder="1">
      <alignment vertical="center"/>
    </xf>
    <xf numFmtId="0" fontId="0" fillId="2" borderId="27" xfId="0" applyFill="1" applyBorder="1">
      <alignment vertical="center"/>
    </xf>
    <xf numFmtId="0" fontId="0" fillId="2" borderId="0" xfId="0" applyFill="1" applyBorder="1">
      <alignment vertical="center"/>
    </xf>
    <xf numFmtId="179" fontId="0" fillId="2" borderId="0" xfId="0" applyNumberFormat="1" applyFill="1" applyBorder="1">
      <alignment vertical="center"/>
    </xf>
    <xf numFmtId="179" fontId="0" fillId="2" borderId="7" xfId="0" applyNumberFormat="1" applyFill="1" applyBorder="1">
      <alignment vertical="center"/>
    </xf>
    <xf numFmtId="0" fontId="0" fillId="2" borderId="67" xfId="0" applyFill="1" applyBorder="1">
      <alignment vertical="center"/>
    </xf>
    <xf numFmtId="0" fontId="0" fillId="2" borderId="1" xfId="0" applyFill="1" applyBorder="1">
      <alignment vertical="center"/>
    </xf>
    <xf numFmtId="179" fontId="0" fillId="2" borderId="1" xfId="0" applyNumberFormat="1" applyFill="1" applyBorder="1">
      <alignment vertical="center"/>
    </xf>
    <xf numFmtId="179" fontId="0" fillId="2" borderId="105" xfId="0" applyNumberFormat="1" applyFill="1" applyBorder="1">
      <alignment vertical="center"/>
    </xf>
    <xf numFmtId="0" fontId="0" fillId="2" borderId="2" xfId="0" applyFill="1" applyBorder="1">
      <alignment vertical="center"/>
    </xf>
    <xf numFmtId="179" fontId="0" fillId="2" borderId="3" xfId="0" applyNumberFormat="1" applyFill="1" applyBorder="1">
      <alignment vertical="center"/>
    </xf>
    <xf numFmtId="179" fontId="0" fillId="2" borderId="104" xfId="0" applyNumberFormat="1" applyFill="1" applyBorder="1">
      <alignment vertical="center"/>
    </xf>
    <xf numFmtId="179" fontId="0" fillId="2" borderId="60" xfId="0" applyNumberFormat="1" applyFill="1" applyBorder="1">
      <alignment vertical="center"/>
    </xf>
    <xf numFmtId="179" fontId="0" fillId="2" borderId="106" xfId="0" applyNumberFormat="1" applyFill="1" applyBorder="1">
      <alignment vertical="center"/>
    </xf>
    <xf numFmtId="0" fontId="26" fillId="2" borderId="63" xfId="0" applyFont="1" applyFill="1" applyBorder="1">
      <alignment vertical="center"/>
    </xf>
    <xf numFmtId="0" fontId="26" fillId="2" borderId="60" xfId="0" applyFont="1" applyFill="1" applyBorder="1">
      <alignment vertical="center"/>
    </xf>
    <xf numFmtId="179" fontId="26" fillId="2" borderId="60" xfId="0" applyNumberFormat="1" applyFont="1" applyFill="1" applyBorder="1">
      <alignment vertical="center"/>
    </xf>
    <xf numFmtId="179" fontId="26" fillId="2" borderId="106" xfId="0" applyNumberFormat="1" applyFont="1" applyFill="1" applyBorder="1">
      <alignment vertical="center"/>
    </xf>
    <xf numFmtId="0" fontId="26" fillId="2" borderId="3" xfId="0" applyFont="1" applyFill="1" applyBorder="1">
      <alignment vertical="center"/>
    </xf>
    <xf numFmtId="0" fontId="26" fillId="2" borderId="104" xfId="0" applyFont="1" applyFill="1" applyBorder="1">
      <alignment vertical="center"/>
    </xf>
    <xf numFmtId="0" fontId="26" fillId="2" borderId="2" xfId="0" applyFont="1" applyFill="1" applyBorder="1">
      <alignment vertical="center"/>
    </xf>
    <xf numFmtId="179" fontId="0" fillId="2" borderId="2" xfId="0" applyNumberFormat="1" applyFill="1" applyBorder="1">
      <alignment vertical="center"/>
    </xf>
    <xf numFmtId="179" fontId="0" fillId="2" borderId="27" xfId="0" applyNumberFormat="1" applyFill="1" applyBorder="1">
      <alignment vertical="center"/>
    </xf>
    <xf numFmtId="179" fontId="26" fillId="2" borderId="63" xfId="0" applyNumberFormat="1" applyFont="1" applyFill="1" applyBorder="1">
      <alignment vertical="center"/>
    </xf>
    <xf numFmtId="179" fontId="0" fillId="2" borderId="67" xfId="0" applyNumberFormat="1" applyFill="1" applyBorder="1">
      <alignment vertical="center"/>
    </xf>
    <xf numFmtId="0" fontId="26" fillId="2" borderId="59" xfId="0" applyFont="1" applyFill="1" applyBorder="1">
      <alignment vertical="center"/>
    </xf>
    <xf numFmtId="0" fontId="26" fillId="2" borderId="75" xfId="0" applyFont="1" applyFill="1" applyBorder="1">
      <alignment vertical="center"/>
    </xf>
    <xf numFmtId="179" fontId="0" fillId="2" borderId="59" xfId="0" applyNumberFormat="1" applyFill="1" applyBorder="1">
      <alignment vertical="center"/>
    </xf>
    <xf numFmtId="179" fontId="0" fillId="2" borderId="75" xfId="0" applyNumberFormat="1" applyFill="1" applyBorder="1">
      <alignment vertical="center"/>
    </xf>
    <xf numFmtId="179" fontId="0" fillId="2" borderId="8" xfId="0" applyNumberFormat="1" applyFill="1" applyBorder="1">
      <alignment vertical="center"/>
    </xf>
    <xf numFmtId="179" fontId="0" fillId="2" borderId="76" xfId="0" applyNumberFormat="1" applyFill="1" applyBorder="1">
      <alignment vertical="center"/>
    </xf>
    <xf numFmtId="179" fontId="26" fillId="2" borderId="62" xfId="0" applyNumberFormat="1" applyFont="1" applyFill="1" applyBorder="1">
      <alignment vertical="center"/>
    </xf>
    <xf numFmtId="179" fontId="26" fillId="2" borderId="73" xfId="0" applyNumberFormat="1" applyFont="1" applyFill="1" applyBorder="1">
      <alignment vertical="center"/>
    </xf>
    <xf numFmtId="179" fontId="0" fillId="2" borderId="9" xfId="0" applyNumberFormat="1" applyFill="1" applyBorder="1">
      <alignment vertical="center"/>
    </xf>
    <xf numFmtId="179" fontId="0" fillId="2" borderId="77" xfId="0" applyNumberFormat="1" applyFill="1" applyBorder="1">
      <alignment vertical="center"/>
    </xf>
    <xf numFmtId="0" fontId="26" fillId="9" borderId="63" xfId="0" applyFont="1" applyFill="1" applyBorder="1">
      <alignment vertical="center"/>
    </xf>
    <xf numFmtId="0" fontId="26" fillId="9" borderId="60" xfId="0" applyFont="1" applyFill="1" applyBorder="1">
      <alignment vertical="center"/>
    </xf>
    <xf numFmtId="179" fontId="26" fillId="9" borderId="63" xfId="0" applyNumberFormat="1" applyFont="1" applyFill="1" applyBorder="1">
      <alignment vertical="center"/>
    </xf>
    <xf numFmtId="179" fontId="26" fillId="9" borderId="60" xfId="0" applyNumberFormat="1" applyFont="1" applyFill="1" applyBorder="1">
      <alignment vertical="center"/>
    </xf>
    <xf numFmtId="179" fontId="26" fillId="9" borderId="62" xfId="0" applyNumberFormat="1" applyFont="1" applyFill="1" applyBorder="1">
      <alignment vertical="center"/>
    </xf>
    <xf numFmtId="179" fontId="26" fillId="9" borderId="73" xfId="0" applyNumberFormat="1" applyFont="1" applyFill="1" applyBorder="1">
      <alignment vertical="center"/>
    </xf>
    <xf numFmtId="179" fontId="26" fillId="9" borderId="106" xfId="0" applyNumberFormat="1" applyFont="1" applyFill="1" applyBorder="1">
      <alignment vertical="center"/>
    </xf>
    <xf numFmtId="0" fontId="26" fillId="9" borderId="2" xfId="0" applyFont="1" applyFill="1" applyBorder="1">
      <alignment vertical="center"/>
    </xf>
    <xf numFmtId="0" fontId="26" fillId="9" borderId="3" xfId="0" applyFont="1" applyFill="1" applyBorder="1">
      <alignment vertical="center"/>
    </xf>
    <xf numFmtId="179" fontId="26" fillId="9" borderId="2" xfId="0" applyNumberFormat="1" applyFont="1" applyFill="1" applyBorder="1">
      <alignment vertical="center"/>
    </xf>
    <xf numFmtId="179" fontId="26" fillId="9" borderId="3" xfId="0" applyNumberFormat="1" applyFont="1" applyFill="1" applyBorder="1">
      <alignment vertical="center"/>
    </xf>
    <xf numFmtId="179" fontId="26" fillId="9" borderId="59" xfId="0" applyNumberFormat="1" applyFont="1" applyFill="1" applyBorder="1">
      <alignment vertical="center"/>
    </xf>
    <xf numFmtId="179" fontId="26" fillId="9" borderId="75" xfId="0" applyNumberFormat="1" applyFont="1" applyFill="1" applyBorder="1">
      <alignment vertical="center"/>
    </xf>
    <xf numFmtId="179" fontId="26" fillId="9" borderId="104" xfId="0" applyNumberFormat="1" applyFont="1" applyFill="1" applyBorder="1">
      <alignment vertical="center"/>
    </xf>
    <xf numFmtId="0" fontId="26" fillId="10" borderId="2" xfId="0" applyFont="1" applyFill="1" applyBorder="1">
      <alignment vertical="center"/>
    </xf>
    <xf numFmtId="0" fontId="26" fillId="10" borderId="3" xfId="0" applyFont="1" applyFill="1" applyBorder="1">
      <alignment vertical="center"/>
    </xf>
    <xf numFmtId="179" fontId="26" fillId="10" borderId="2" xfId="0" applyNumberFormat="1" applyFont="1" applyFill="1" applyBorder="1">
      <alignment vertical="center"/>
    </xf>
    <xf numFmtId="179" fontId="26" fillId="10" borderId="3" xfId="0" applyNumberFormat="1" applyFont="1" applyFill="1" applyBorder="1">
      <alignment vertical="center"/>
    </xf>
    <xf numFmtId="179" fontId="26" fillId="10" borderId="59" xfId="0" applyNumberFormat="1" applyFont="1" applyFill="1" applyBorder="1">
      <alignment vertical="center"/>
    </xf>
    <xf numFmtId="179" fontId="26" fillId="10" borderId="75" xfId="0" applyNumberFormat="1" applyFont="1" applyFill="1" applyBorder="1">
      <alignment vertical="center"/>
    </xf>
    <xf numFmtId="179" fontId="26" fillId="10" borderId="104" xfId="0" applyNumberFormat="1" applyFont="1" applyFill="1" applyBorder="1">
      <alignment vertical="center"/>
    </xf>
    <xf numFmtId="0" fontId="26" fillId="10" borderId="27" xfId="0" applyFont="1" applyFill="1" applyBorder="1">
      <alignment vertical="center"/>
    </xf>
    <xf numFmtId="0" fontId="26" fillId="10" borderId="0" xfId="0" applyFont="1" applyFill="1" applyBorder="1">
      <alignment vertical="center"/>
    </xf>
    <xf numFmtId="179" fontId="26" fillId="10" borderId="27" xfId="0" applyNumberFormat="1" applyFont="1" applyFill="1" applyBorder="1">
      <alignment vertical="center"/>
    </xf>
    <xf numFmtId="179" fontId="26" fillId="10" borderId="0" xfId="0" applyNumberFormat="1" applyFont="1" applyFill="1" applyBorder="1">
      <alignment vertical="center"/>
    </xf>
    <xf numFmtId="179" fontId="26" fillId="10" borderId="8" xfId="0" applyNumberFormat="1" applyFont="1" applyFill="1" applyBorder="1">
      <alignment vertical="center"/>
    </xf>
    <xf numFmtId="179" fontId="26" fillId="10" borderId="76" xfId="0" applyNumberFormat="1" applyFont="1" applyFill="1" applyBorder="1">
      <alignment vertical="center"/>
    </xf>
    <xf numFmtId="179" fontId="26" fillId="10" borderId="7" xfId="0" applyNumberFormat="1" applyFont="1" applyFill="1" applyBorder="1">
      <alignment vertical="center"/>
    </xf>
    <xf numFmtId="1" fontId="25" fillId="7" borderId="0" xfId="0" applyNumberFormat="1" applyFont="1" applyFill="1">
      <alignment vertical="center"/>
    </xf>
    <xf numFmtId="0" fontId="26" fillId="2" borderId="107" xfId="0" applyFont="1" applyFill="1" applyBorder="1" applyAlignment="1">
      <alignment horizontal="center" vertical="center"/>
    </xf>
    <xf numFmtId="0" fontId="26" fillId="2" borderId="78" xfId="0" applyFont="1" applyFill="1" applyBorder="1" applyAlignment="1">
      <alignment horizontal="center" vertical="center"/>
    </xf>
    <xf numFmtId="0" fontId="26" fillId="2" borderId="83" xfId="0" applyFont="1" applyFill="1" applyBorder="1" applyAlignment="1">
      <alignment horizontal="center" vertical="center"/>
    </xf>
    <xf numFmtId="179" fontId="26" fillId="10" borderId="107" xfId="0" applyNumberFormat="1" applyFont="1" applyFill="1" applyBorder="1">
      <alignment vertical="center"/>
    </xf>
    <xf numFmtId="179" fontId="26" fillId="10" borderId="78" xfId="0" applyNumberFormat="1" applyFont="1" applyFill="1" applyBorder="1">
      <alignment vertical="center"/>
    </xf>
    <xf numFmtId="179" fontId="26" fillId="10" borderId="83" xfId="0" applyNumberFormat="1" applyFont="1" applyFill="1" applyBorder="1">
      <alignment vertical="center"/>
    </xf>
    <xf numFmtId="179" fontId="0" fillId="2" borderId="108" xfId="0" applyNumberFormat="1" applyFill="1" applyBorder="1">
      <alignment vertical="center"/>
    </xf>
    <xf numFmtId="179" fontId="0" fillId="2" borderId="72" xfId="0" applyNumberFormat="1" applyFill="1" applyBorder="1">
      <alignment vertical="center"/>
    </xf>
    <xf numFmtId="179" fontId="0" fillId="2" borderId="26" xfId="0" applyNumberFormat="1" applyFill="1" applyBorder="1">
      <alignment vertical="center"/>
    </xf>
    <xf numFmtId="179" fontId="26" fillId="10" borderId="108" xfId="0" applyNumberFormat="1" applyFont="1" applyFill="1" applyBorder="1">
      <alignment vertical="center"/>
    </xf>
    <xf numFmtId="179" fontId="26" fillId="10" borderId="72" xfId="0" applyNumberFormat="1" applyFont="1" applyFill="1" applyBorder="1">
      <alignment vertical="center"/>
    </xf>
    <xf numFmtId="179" fontId="26" fillId="10" borderId="26" xfId="0" applyNumberFormat="1" applyFont="1" applyFill="1" applyBorder="1">
      <alignment vertical="center"/>
    </xf>
    <xf numFmtId="179" fontId="26" fillId="9" borderId="109" xfId="0" applyNumberFormat="1" applyFont="1" applyFill="1" applyBorder="1">
      <alignment vertical="center"/>
    </xf>
    <xf numFmtId="179" fontId="26" fillId="9" borderId="74" xfId="0" applyNumberFormat="1" applyFont="1" applyFill="1" applyBorder="1">
      <alignment vertical="center"/>
    </xf>
    <xf numFmtId="179" fontId="26" fillId="9" borderId="69" xfId="0" applyNumberFormat="1" applyFont="1" applyFill="1" applyBorder="1">
      <alignment vertical="center"/>
    </xf>
    <xf numFmtId="179" fontId="26" fillId="9" borderId="107" xfId="0" applyNumberFormat="1" applyFont="1" applyFill="1" applyBorder="1">
      <alignment vertical="center"/>
    </xf>
    <xf numFmtId="179" fontId="26" fillId="9" borderId="78" xfId="0" applyNumberFormat="1" applyFont="1" applyFill="1" applyBorder="1">
      <alignment vertical="center"/>
    </xf>
    <xf numFmtId="179" fontId="26" fillId="9" borderId="83" xfId="0" applyNumberFormat="1" applyFont="1" applyFill="1" applyBorder="1">
      <alignment vertical="center"/>
    </xf>
    <xf numFmtId="179" fontId="0" fillId="2" borderId="107" xfId="0" applyNumberFormat="1" applyFill="1" applyBorder="1">
      <alignment vertical="center"/>
    </xf>
    <xf numFmtId="179" fontId="0" fillId="2" borderId="78" xfId="0" applyNumberFormat="1" applyFill="1" applyBorder="1">
      <alignment vertical="center"/>
    </xf>
    <xf numFmtId="179" fontId="0" fillId="2" borderId="83" xfId="0" applyNumberFormat="1" applyFill="1" applyBorder="1">
      <alignment vertical="center"/>
    </xf>
    <xf numFmtId="179" fontId="0" fillId="2" borderId="110" xfId="0" applyNumberFormat="1" applyFill="1" applyBorder="1">
      <alignment vertical="center"/>
    </xf>
    <xf numFmtId="179" fontId="0" fillId="2" borderId="79" xfId="0" applyNumberFormat="1" applyFill="1" applyBorder="1">
      <alignment vertical="center"/>
    </xf>
    <xf numFmtId="179" fontId="0" fillId="2" borderId="66" xfId="0" applyNumberFormat="1" applyFill="1" applyBorder="1">
      <alignment vertical="center"/>
    </xf>
    <xf numFmtId="0" fontId="27" fillId="2" borderId="0" xfId="0" applyFont="1" applyFill="1">
      <alignment vertical="center"/>
    </xf>
    <xf numFmtId="0" fontId="28" fillId="11" borderId="63" xfId="0" applyFont="1" applyFill="1" applyBorder="1">
      <alignment vertical="center"/>
    </xf>
    <xf numFmtId="0" fontId="28" fillId="11" borderId="60" xfId="0" applyFont="1" applyFill="1" applyBorder="1">
      <alignment vertical="center"/>
    </xf>
    <xf numFmtId="179" fontId="28" fillId="11" borderId="109" xfId="0" applyNumberFormat="1" applyFont="1" applyFill="1" applyBorder="1">
      <alignment vertical="center"/>
    </xf>
    <xf numFmtId="179" fontId="28" fillId="11" borderId="74" xfId="0" applyNumberFormat="1" applyFont="1" applyFill="1" applyBorder="1">
      <alignment vertical="center"/>
    </xf>
    <xf numFmtId="179" fontId="28" fillId="11" borderId="69" xfId="0" applyNumberFormat="1" applyFont="1" applyFill="1" applyBorder="1">
      <alignment vertical="center"/>
    </xf>
    <xf numFmtId="179" fontId="28" fillId="11" borderId="63" xfId="0" applyNumberFormat="1" applyFont="1" applyFill="1" applyBorder="1">
      <alignment vertical="center"/>
    </xf>
    <xf numFmtId="179" fontId="28" fillId="11" borderId="60" xfId="0" applyNumberFormat="1" applyFont="1" applyFill="1" applyBorder="1">
      <alignment vertical="center"/>
    </xf>
    <xf numFmtId="179" fontId="28" fillId="11" borderId="62" xfId="0" applyNumberFormat="1" applyFont="1" applyFill="1" applyBorder="1">
      <alignment vertical="center"/>
    </xf>
    <xf numFmtId="179" fontId="28" fillId="11" borderId="73" xfId="0" applyNumberFormat="1" applyFont="1" applyFill="1" applyBorder="1">
      <alignment vertical="center"/>
    </xf>
    <xf numFmtId="179" fontId="28" fillId="11" borderId="106" xfId="0" applyNumberFormat="1" applyFont="1" applyFill="1" applyBorder="1">
      <alignment vertical="center"/>
    </xf>
    <xf numFmtId="179" fontId="28" fillId="3" borderId="73" xfId="0" applyNumberFormat="1" applyFont="1" applyFill="1" applyBorder="1">
      <alignment vertical="center"/>
    </xf>
    <xf numFmtId="179" fontId="28" fillId="3" borderId="62" xfId="0" applyNumberFormat="1" applyFont="1" applyFill="1" applyBorder="1">
      <alignment vertical="center"/>
    </xf>
    <xf numFmtId="179" fontId="28" fillId="3" borderId="60" xfId="0" applyNumberFormat="1" applyFont="1" applyFill="1" applyBorder="1">
      <alignment vertical="center"/>
    </xf>
    <xf numFmtId="179" fontId="28" fillId="3" borderId="106" xfId="0" applyNumberFormat="1" applyFont="1" applyFill="1" applyBorder="1">
      <alignment vertical="center"/>
    </xf>
    <xf numFmtId="179" fontId="0" fillId="2" borderId="63" xfId="0" applyNumberFormat="1" applyFill="1" applyBorder="1">
      <alignment vertical="center"/>
    </xf>
    <xf numFmtId="179" fontId="0" fillId="2" borderId="62" xfId="0" applyNumberFormat="1" applyFill="1" applyBorder="1">
      <alignment vertical="center"/>
    </xf>
    <xf numFmtId="179" fontId="0" fillId="2" borderId="73" xfId="0" applyNumberFormat="1" applyFill="1" applyBorder="1">
      <alignment vertical="center"/>
    </xf>
    <xf numFmtId="179" fontId="26" fillId="10" borderId="63" xfId="0" applyNumberFormat="1" applyFont="1" applyFill="1" applyBorder="1">
      <alignment vertical="center"/>
    </xf>
    <xf numFmtId="179" fontId="26" fillId="10" borderId="60" xfId="0" applyNumberFormat="1" applyFont="1" applyFill="1" applyBorder="1">
      <alignment vertical="center"/>
    </xf>
    <xf numFmtId="179" fontId="26" fillId="10" borderId="62" xfId="0" applyNumberFormat="1" applyFont="1" applyFill="1" applyBorder="1">
      <alignment vertical="center"/>
    </xf>
    <xf numFmtId="179" fontId="26" fillId="10" borderId="73" xfId="0" applyNumberFormat="1" applyFont="1" applyFill="1" applyBorder="1">
      <alignment vertical="center"/>
    </xf>
    <xf numFmtId="179" fontId="26" fillId="10" borderId="106" xfId="0" applyNumberFormat="1" applyFont="1" applyFill="1" applyBorder="1">
      <alignment vertical="center"/>
    </xf>
    <xf numFmtId="3" fontId="0" fillId="0" borderId="0" xfId="0" applyNumberFormat="1">
      <alignment vertical="center"/>
    </xf>
    <xf numFmtId="179" fontId="26" fillId="2" borderId="109" xfId="0" applyNumberFormat="1" applyFont="1" applyFill="1" applyBorder="1">
      <alignment vertical="center"/>
    </xf>
    <xf numFmtId="179" fontId="26" fillId="2" borderId="74" xfId="0" applyNumberFormat="1" applyFont="1" applyFill="1" applyBorder="1">
      <alignment vertical="center"/>
    </xf>
    <xf numFmtId="179" fontId="26" fillId="2" borderId="69" xfId="0" applyNumberFormat="1" applyFont="1" applyFill="1" applyBorder="1">
      <alignment vertical="center"/>
    </xf>
    <xf numFmtId="0" fontId="28" fillId="6" borderId="63" xfId="0" applyFont="1" applyFill="1" applyBorder="1">
      <alignment vertical="center"/>
    </xf>
    <xf numFmtId="0" fontId="28" fillId="6" borderId="60" xfId="0" applyFont="1" applyFill="1" applyBorder="1">
      <alignment vertical="center"/>
    </xf>
    <xf numFmtId="179" fontId="28" fillId="6" borderId="109" xfId="0" applyNumberFormat="1" applyFont="1" applyFill="1" applyBorder="1">
      <alignment vertical="center"/>
    </xf>
    <xf numFmtId="179" fontId="28" fillId="6" borderId="74" xfId="0" applyNumberFormat="1" applyFont="1" applyFill="1" applyBorder="1">
      <alignment vertical="center"/>
    </xf>
    <xf numFmtId="179" fontId="28" fillId="6" borderId="69" xfId="0" applyNumberFormat="1" applyFont="1" applyFill="1" applyBorder="1">
      <alignment vertical="center"/>
    </xf>
    <xf numFmtId="179" fontId="28" fillId="6" borderId="63" xfId="0" applyNumberFormat="1" applyFont="1" applyFill="1" applyBorder="1">
      <alignment vertical="center"/>
    </xf>
    <xf numFmtId="179" fontId="28" fillId="6" borderId="60" xfId="0" applyNumberFormat="1" applyFont="1" applyFill="1" applyBorder="1">
      <alignment vertical="center"/>
    </xf>
    <xf numFmtId="179" fontId="28" fillId="6" borderId="62" xfId="0" applyNumberFormat="1" applyFont="1" applyFill="1" applyBorder="1">
      <alignment vertical="center"/>
    </xf>
    <xf numFmtId="179" fontId="28" fillId="6" borderId="73" xfId="0" applyNumberFormat="1" applyFont="1" applyFill="1" applyBorder="1">
      <alignment vertical="center"/>
    </xf>
    <xf numFmtId="179" fontId="28" fillId="6" borderId="106" xfId="0" applyNumberFormat="1" applyFont="1" applyFill="1" applyBorder="1">
      <alignment vertical="center"/>
    </xf>
    <xf numFmtId="0" fontId="4" fillId="2" borderId="111" xfId="0" applyFont="1" applyFill="1" applyBorder="1">
      <alignment vertical="center"/>
    </xf>
    <xf numFmtId="0" fontId="4" fillId="2" borderId="2" xfId="0" applyFont="1" applyFill="1" applyBorder="1">
      <alignment vertical="center"/>
    </xf>
    <xf numFmtId="0" fontId="4" fillId="2" borderId="3" xfId="0" applyFont="1" applyFill="1" applyBorder="1">
      <alignment vertical="center"/>
    </xf>
    <xf numFmtId="179" fontId="4" fillId="2" borderId="107" xfId="0" applyNumberFormat="1" applyFont="1" applyFill="1" applyBorder="1">
      <alignment vertical="center"/>
    </xf>
    <xf numFmtId="179" fontId="4" fillId="2" borderId="78" xfId="0" applyNumberFormat="1" applyFont="1" applyFill="1" applyBorder="1">
      <alignment vertical="center"/>
    </xf>
    <xf numFmtId="179" fontId="4" fillId="2" borderId="83" xfId="0" applyNumberFormat="1" applyFont="1" applyFill="1" applyBorder="1">
      <alignment vertical="center"/>
    </xf>
    <xf numFmtId="179" fontId="4" fillId="2" borderId="0" xfId="0" applyNumberFormat="1" applyFont="1" applyFill="1">
      <alignment vertical="center"/>
    </xf>
    <xf numFmtId="0" fontId="4" fillId="2" borderId="67" xfId="0" applyFont="1" applyFill="1" applyBorder="1">
      <alignment vertical="center"/>
    </xf>
    <xf numFmtId="0" fontId="4" fillId="2" borderId="1" xfId="0" applyFont="1" applyFill="1" applyBorder="1">
      <alignment vertical="center"/>
    </xf>
    <xf numFmtId="179" fontId="4" fillId="2" borderId="110" xfId="0" applyNumberFormat="1" applyFont="1" applyFill="1" applyBorder="1">
      <alignment vertical="center"/>
    </xf>
    <xf numFmtId="179" fontId="4" fillId="2" borderId="79" xfId="0" applyNumberFormat="1" applyFont="1" applyFill="1" applyBorder="1">
      <alignment vertical="center"/>
    </xf>
    <xf numFmtId="179" fontId="4" fillId="2" borderId="66" xfId="0" applyNumberFormat="1" applyFont="1" applyFill="1" applyBorder="1">
      <alignment vertical="center"/>
    </xf>
    <xf numFmtId="179" fontId="4" fillId="2" borderId="2" xfId="0" applyNumberFormat="1" applyFont="1" applyFill="1" applyBorder="1">
      <alignment vertical="center"/>
    </xf>
    <xf numFmtId="179" fontId="4" fillId="2" borderId="3" xfId="0" applyNumberFormat="1" applyFont="1" applyFill="1" applyBorder="1">
      <alignment vertical="center"/>
    </xf>
    <xf numFmtId="179" fontId="4" fillId="2" borderId="59" xfId="0" applyNumberFormat="1" applyFont="1" applyFill="1" applyBorder="1">
      <alignment vertical="center"/>
    </xf>
    <xf numFmtId="179" fontId="4" fillId="2" borderId="75" xfId="0" applyNumberFormat="1" applyFont="1" applyFill="1" applyBorder="1">
      <alignment vertical="center"/>
    </xf>
    <xf numFmtId="179" fontId="4" fillId="2" borderId="104" xfId="0" applyNumberFormat="1" applyFont="1" applyFill="1" applyBorder="1">
      <alignment vertical="center"/>
    </xf>
    <xf numFmtId="179" fontId="4" fillId="2" borderId="67" xfId="0" applyNumberFormat="1" applyFont="1" applyFill="1" applyBorder="1">
      <alignment vertical="center"/>
    </xf>
    <xf numFmtId="179" fontId="4" fillId="2" borderId="1" xfId="0" applyNumberFormat="1" applyFont="1" applyFill="1" applyBorder="1">
      <alignment vertical="center"/>
    </xf>
    <xf numFmtId="179" fontId="4" fillId="2" borderId="9" xfId="0" applyNumberFormat="1" applyFont="1" applyFill="1" applyBorder="1">
      <alignment vertical="center"/>
    </xf>
    <xf numFmtId="179" fontId="4" fillId="2" borderId="77" xfId="0" applyNumberFormat="1" applyFont="1" applyFill="1" applyBorder="1">
      <alignment vertical="center"/>
    </xf>
    <xf numFmtId="179" fontId="4" fillId="2" borderId="105" xfId="0" applyNumberFormat="1" applyFont="1" applyFill="1" applyBorder="1">
      <alignment vertical="center"/>
    </xf>
    <xf numFmtId="0" fontId="28" fillId="12" borderId="63" xfId="0" applyFont="1" applyFill="1" applyBorder="1">
      <alignment vertical="center"/>
    </xf>
    <xf numFmtId="0" fontId="28" fillId="12" borderId="60" xfId="0" applyFont="1" applyFill="1" applyBorder="1">
      <alignment vertical="center"/>
    </xf>
    <xf numFmtId="179" fontId="28" fillId="12" borderId="109" xfId="0" applyNumberFormat="1" applyFont="1" applyFill="1" applyBorder="1">
      <alignment vertical="center"/>
    </xf>
    <xf numFmtId="179" fontId="28" fillId="12" borderId="74" xfId="0" applyNumberFormat="1" applyFont="1" applyFill="1" applyBorder="1">
      <alignment vertical="center"/>
    </xf>
    <xf numFmtId="179" fontId="28" fillId="12" borderId="69" xfId="0" applyNumberFormat="1" applyFont="1" applyFill="1" applyBorder="1">
      <alignment vertical="center"/>
    </xf>
    <xf numFmtId="179" fontId="28" fillId="12" borderId="63" xfId="0" applyNumberFormat="1" applyFont="1" applyFill="1" applyBorder="1">
      <alignment vertical="center"/>
    </xf>
    <xf numFmtId="179" fontId="28" fillId="12" borderId="60" xfId="0" applyNumberFormat="1" applyFont="1" applyFill="1" applyBorder="1">
      <alignment vertical="center"/>
    </xf>
    <xf numFmtId="179" fontId="28" fillId="12" borderId="62" xfId="0" applyNumberFormat="1" applyFont="1" applyFill="1" applyBorder="1">
      <alignment vertical="center"/>
    </xf>
    <xf numFmtId="179" fontId="28" fillId="12" borderId="73" xfId="0" applyNumberFormat="1" applyFont="1" applyFill="1" applyBorder="1">
      <alignment vertical="center"/>
    </xf>
    <xf numFmtId="179" fontId="28" fillId="12" borderId="106" xfId="0" applyNumberFormat="1" applyFont="1" applyFill="1" applyBorder="1">
      <alignment vertical="center"/>
    </xf>
    <xf numFmtId="0" fontId="26" fillId="10" borderId="67" xfId="0" applyFont="1" applyFill="1" applyBorder="1">
      <alignment vertical="center"/>
    </xf>
    <xf numFmtId="0" fontId="26" fillId="10" borderId="1" xfId="0" applyFont="1" applyFill="1" applyBorder="1">
      <alignment vertical="center"/>
    </xf>
    <xf numFmtId="179" fontId="26" fillId="10" borderId="110" xfId="0" applyNumberFormat="1" applyFont="1" applyFill="1" applyBorder="1">
      <alignment vertical="center"/>
    </xf>
    <xf numFmtId="179" fontId="26" fillId="10" borderId="79" xfId="0" applyNumberFormat="1" applyFont="1" applyFill="1" applyBorder="1">
      <alignment vertical="center"/>
    </xf>
    <xf numFmtId="179" fontId="26" fillId="10" borderId="66" xfId="0" applyNumberFormat="1" applyFont="1" applyFill="1" applyBorder="1">
      <alignment vertical="center"/>
    </xf>
    <xf numFmtId="179" fontId="26" fillId="10" borderId="67" xfId="0" applyNumberFormat="1" applyFont="1" applyFill="1" applyBorder="1">
      <alignment vertical="center"/>
    </xf>
    <xf numFmtId="179" fontId="26" fillId="10" borderId="1" xfId="0" applyNumberFormat="1" applyFont="1" applyFill="1" applyBorder="1">
      <alignment vertical="center"/>
    </xf>
    <xf numFmtId="179" fontId="26" fillId="10" borderId="9" xfId="0" applyNumberFormat="1" applyFont="1" applyFill="1" applyBorder="1">
      <alignment vertical="center"/>
    </xf>
    <xf numFmtId="179" fontId="26" fillId="10" borderId="77" xfId="0" applyNumberFormat="1" applyFont="1" applyFill="1" applyBorder="1">
      <alignment vertical="center"/>
    </xf>
    <xf numFmtId="179" fontId="26" fillId="10" borderId="105" xfId="0" applyNumberFormat="1" applyFont="1" applyFill="1" applyBorder="1">
      <alignment vertical="center"/>
    </xf>
    <xf numFmtId="1" fontId="25" fillId="13" borderId="0" xfId="0" applyNumberFormat="1" applyFont="1" applyFill="1">
      <alignment vertical="center"/>
    </xf>
    <xf numFmtId="41" fontId="11" fillId="2" borderId="32" xfId="1" applyFont="1" applyFill="1" applyBorder="1" applyAlignment="1">
      <alignment horizontal="right" vertical="center" shrinkToFit="1"/>
    </xf>
    <xf numFmtId="41" fontId="11" fillId="2" borderId="30" xfId="1" applyFont="1" applyFill="1" applyBorder="1" applyAlignment="1">
      <alignment horizontal="right" vertical="center" shrinkToFit="1"/>
    </xf>
    <xf numFmtId="41" fontId="11" fillId="2" borderId="35" xfId="1" applyFont="1" applyFill="1" applyBorder="1" applyAlignment="1">
      <alignment horizontal="right" vertical="center" shrinkToFit="1"/>
    </xf>
    <xf numFmtId="41" fontId="13" fillId="2" borderId="91" xfId="1" applyFont="1" applyFill="1" applyBorder="1" applyAlignment="1">
      <alignment horizontal="left" vertical="center" indent="1"/>
    </xf>
    <xf numFmtId="41" fontId="11" fillId="2" borderId="94" xfId="1" quotePrefix="1" applyFont="1" applyFill="1" applyBorder="1" applyAlignment="1">
      <alignment horizontal="left" vertical="center" indent="1"/>
    </xf>
    <xf numFmtId="41" fontId="13" fillId="2" borderId="90" xfId="1" quotePrefix="1" applyFont="1" applyFill="1" applyBorder="1" applyAlignment="1">
      <alignment horizontal="left" vertical="center" indent="1"/>
    </xf>
    <xf numFmtId="41" fontId="11" fillId="2" borderId="10" xfId="1" applyFont="1" applyFill="1" applyBorder="1" applyAlignment="1">
      <alignment horizontal="right" vertical="center" shrinkToFit="1"/>
    </xf>
    <xf numFmtId="41" fontId="11" fillId="2" borderId="60" xfId="1" applyFont="1" applyFill="1" applyBorder="1" applyAlignment="1">
      <alignment horizontal="right" vertical="center" shrinkToFit="1"/>
    </xf>
    <xf numFmtId="41" fontId="11" fillId="2" borderId="38" xfId="1" applyFont="1" applyFill="1" applyBorder="1" applyAlignment="1">
      <alignment horizontal="right" vertical="center" shrinkToFit="1"/>
    </xf>
    <xf numFmtId="41" fontId="11" fillId="2" borderId="63" xfId="1" applyFont="1" applyFill="1" applyBorder="1" applyAlignment="1">
      <alignment horizontal="right" vertical="center" shrinkToFit="1"/>
    </xf>
    <xf numFmtId="41" fontId="11" fillId="2" borderId="40" xfId="1" applyFont="1" applyFill="1" applyBorder="1" applyAlignment="1">
      <alignment horizontal="right" vertical="center" shrinkToFit="1"/>
    </xf>
    <xf numFmtId="41" fontId="11" fillId="2" borderId="64" xfId="1" applyFont="1" applyFill="1" applyBorder="1" applyAlignment="1">
      <alignment horizontal="right" vertical="center" shrinkToFit="1"/>
    </xf>
    <xf numFmtId="41" fontId="11" fillId="2" borderId="90" xfId="1" quotePrefix="1" applyFont="1" applyFill="1" applyBorder="1" applyAlignment="1">
      <alignment horizontal="left" vertical="center" indent="1"/>
    </xf>
    <xf numFmtId="41" fontId="11" fillId="2" borderId="93" xfId="1" quotePrefix="1" applyFont="1" applyFill="1" applyBorder="1" applyAlignment="1">
      <alignment horizontal="left" vertical="center" indent="1"/>
    </xf>
    <xf numFmtId="41" fontId="11" fillId="2" borderId="98" xfId="1" quotePrefix="1" applyFont="1" applyFill="1" applyBorder="1" applyAlignment="1">
      <alignment horizontal="left" vertical="center" indent="1"/>
    </xf>
    <xf numFmtId="41" fontId="11" fillId="2" borderId="2" xfId="1" applyFont="1" applyFill="1" applyBorder="1" applyAlignment="1">
      <alignment horizontal="right" vertical="center" shrinkToFit="1"/>
    </xf>
    <xf numFmtId="41" fontId="11" fillId="2" borderId="3" xfId="1" applyFont="1" applyFill="1" applyBorder="1" applyAlignment="1">
      <alignment horizontal="right" vertical="center" shrinkToFit="1"/>
    </xf>
    <xf numFmtId="41" fontId="11" fillId="2" borderId="15" xfId="1" applyFont="1" applyFill="1" applyBorder="1" applyAlignment="1">
      <alignment horizontal="right" vertical="center" shrinkToFit="1"/>
    </xf>
    <xf numFmtId="181" fontId="0" fillId="2" borderId="0" xfId="1" applyNumberFormat="1" applyFont="1" applyFill="1">
      <alignment vertical="center"/>
    </xf>
    <xf numFmtId="176" fontId="5" fillId="5" borderId="45" xfId="0" applyNumberFormat="1" applyFont="1" applyFill="1" applyBorder="1" applyAlignment="1">
      <alignment horizontal="center" vertical="center"/>
    </xf>
    <xf numFmtId="41" fontId="11" fillId="2" borderId="99" xfId="0" quotePrefix="1" applyNumberFormat="1" applyFont="1" applyFill="1" applyBorder="1" applyAlignment="1">
      <alignment horizontal="left" vertical="center" indent="1"/>
    </xf>
    <xf numFmtId="176" fontId="7" fillId="2" borderId="62" xfId="2" applyNumberFormat="1" applyFont="1" applyFill="1" applyBorder="1" applyAlignment="1">
      <alignment vertical="center" shrinkToFit="1"/>
    </xf>
    <xf numFmtId="176" fontId="11" fillId="2" borderId="112" xfId="2" applyNumberFormat="1" applyFont="1" applyFill="1" applyBorder="1" applyAlignment="1">
      <alignment horizontal="right" vertical="center" shrinkToFit="1"/>
    </xf>
    <xf numFmtId="176" fontId="13" fillId="2" borderId="72" xfId="2" applyNumberFormat="1" applyFont="1" applyFill="1" applyBorder="1" applyAlignment="1">
      <alignment horizontal="right" vertical="center" shrinkToFit="1"/>
    </xf>
    <xf numFmtId="176" fontId="13" fillId="2" borderId="113" xfId="2" applyNumberFormat="1" applyFont="1" applyFill="1" applyBorder="1" applyAlignment="1">
      <alignment horizontal="right" vertical="center" shrinkToFit="1"/>
    </xf>
    <xf numFmtId="176" fontId="13" fillId="2" borderId="114" xfId="2" applyNumberFormat="1" applyFont="1" applyFill="1" applyBorder="1" applyAlignment="1">
      <alignment horizontal="right" vertical="center" shrinkToFit="1"/>
    </xf>
    <xf numFmtId="176" fontId="13" fillId="2" borderId="79" xfId="2" applyNumberFormat="1" applyFont="1" applyFill="1" applyBorder="1" applyAlignment="1">
      <alignment horizontal="right" vertical="center" shrinkToFit="1"/>
    </xf>
    <xf numFmtId="176" fontId="11" fillId="2" borderId="74" xfId="2" applyNumberFormat="1" applyFont="1" applyFill="1" applyBorder="1" applyAlignment="1">
      <alignment horizontal="right" vertical="center" shrinkToFit="1"/>
    </xf>
    <xf numFmtId="176" fontId="13" fillId="2" borderId="78" xfId="2" applyNumberFormat="1" applyFont="1" applyFill="1" applyBorder="1" applyAlignment="1">
      <alignment horizontal="right" vertical="center" shrinkToFit="1"/>
    </xf>
    <xf numFmtId="176" fontId="11" fillId="2" borderId="84" xfId="2" applyNumberFormat="1" applyFont="1" applyFill="1" applyBorder="1" applyAlignment="1">
      <alignment horizontal="right" vertical="center" shrinkToFit="1"/>
    </xf>
    <xf numFmtId="176" fontId="11" fillId="2" borderId="72" xfId="2" applyNumberFormat="1" applyFont="1" applyFill="1" applyBorder="1" applyAlignment="1">
      <alignment horizontal="right" vertical="center" shrinkToFit="1"/>
    </xf>
    <xf numFmtId="178" fontId="11" fillId="2" borderId="23" xfId="1" applyNumberFormat="1" applyFont="1" applyFill="1" applyBorder="1" applyAlignment="1">
      <alignment vertical="center" shrinkToFit="1"/>
    </xf>
    <xf numFmtId="41" fontId="13" fillId="2" borderId="0" xfId="1" applyFont="1" applyFill="1" applyBorder="1" applyAlignment="1">
      <alignment vertical="center" shrinkToFit="1"/>
    </xf>
    <xf numFmtId="41" fontId="11" fillId="2" borderId="93" xfId="1" applyFont="1" applyFill="1" applyBorder="1" applyAlignment="1">
      <alignment horizontal="left" vertical="center" indent="1"/>
    </xf>
    <xf numFmtId="41" fontId="11" fillId="2" borderId="60" xfId="1" applyFont="1" applyFill="1" applyBorder="1" applyAlignment="1">
      <alignment vertical="center" shrinkToFit="1"/>
    </xf>
    <xf numFmtId="41" fontId="11" fillId="2" borderId="32" xfId="1" applyFont="1" applyFill="1" applyBorder="1" applyAlignment="1">
      <alignment vertical="center" shrinkToFit="1"/>
    </xf>
    <xf numFmtId="41" fontId="13" fillId="2" borderId="27" xfId="1" applyFont="1" applyFill="1" applyBorder="1" applyAlignment="1">
      <alignment vertical="center" shrinkToFit="1"/>
    </xf>
    <xf numFmtId="41" fontId="11" fillId="2" borderId="63" xfId="1" applyFont="1" applyFill="1" applyBorder="1" applyAlignment="1">
      <alignment vertical="center" shrinkToFit="1"/>
    </xf>
    <xf numFmtId="41" fontId="11" fillId="2" borderId="30" xfId="1" applyFont="1" applyFill="1" applyBorder="1" applyAlignment="1">
      <alignment vertical="center" shrinkToFit="1"/>
    </xf>
    <xf numFmtId="41" fontId="13" fillId="2" borderId="28" xfId="1" applyFont="1" applyFill="1" applyBorder="1" applyAlignment="1">
      <alignment vertical="center" shrinkToFit="1"/>
    </xf>
    <xf numFmtId="41" fontId="11" fillId="2" borderId="64" xfId="1" applyFont="1" applyFill="1" applyBorder="1" applyAlignment="1">
      <alignment vertical="center" shrinkToFit="1"/>
    </xf>
    <xf numFmtId="41" fontId="11" fillId="2" borderId="35" xfId="1" applyFont="1" applyFill="1" applyBorder="1" applyAlignment="1">
      <alignment vertical="center" shrinkToFit="1"/>
    </xf>
    <xf numFmtId="41" fontId="13" fillId="2" borderId="10" xfId="1" applyFont="1" applyFill="1" applyBorder="1" applyAlignment="1">
      <alignment vertical="center" shrinkToFit="1"/>
    </xf>
    <xf numFmtId="41" fontId="13" fillId="2" borderId="38" xfId="1" applyFont="1" applyFill="1" applyBorder="1" applyAlignment="1">
      <alignment vertical="center" shrinkToFit="1"/>
    </xf>
    <xf numFmtId="41" fontId="13" fillId="2" borderId="40" xfId="1" applyFont="1" applyFill="1" applyBorder="1" applyAlignment="1">
      <alignment vertical="center" shrinkToFit="1"/>
    </xf>
    <xf numFmtId="41" fontId="11" fillId="2" borderId="25" xfId="1" applyFont="1" applyFill="1" applyBorder="1" applyAlignment="1">
      <alignment vertical="center" shrinkToFit="1"/>
    </xf>
    <xf numFmtId="41" fontId="13" fillId="2" borderId="0" xfId="1" quotePrefix="1" applyFont="1" applyFill="1" applyBorder="1" applyAlignment="1">
      <alignment horizontal="left" vertical="center" indent="1"/>
    </xf>
    <xf numFmtId="41" fontId="11" fillId="2" borderId="28" xfId="1" applyFont="1" applyFill="1" applyBorder="1" applyAlignment="1">
      <alignment vertical="center" shrinkToFit="1"/>
    </xf>
    <xf numFmtId="41" fontId="13" fillId="2" borderId="0" xfId="1" applyFont="1" applyFill="1" applyBorder="1" applyAlignment="1">
      <alignment horizontal="left" vertical="center" indent="1"/>
    </xf>
    <xf numFmtId="41" fontId="11" fillId="2" borderId="32" xfId="1" applyFont="1" applyFill="1" applyBorder="1" applyAlignment="1">
      <alignment horizontal="left" vertical="center" indent="1"/>
    </xf>
    <xf numFmtId="41" fontId="11" fillId="2" borderId="0" xfId="1" applyFont="1" applyFill="1" applyBorder="1" applyAlignment="1">
      <alignment horizontal="left" vertical="center" indent="1"/>
    </xf>
    <xf numFmtId="41" fontId="11" fillId="2" borderId="40" xfId="1" applyFont="1" applyFill="1" applyBorder="1" applyAlignment="1">
      <alignment vertical="center" shrinkToFit="1"/>
    </xf>
    <xf numFmtId="41" fontId="11" fillId="0" borderId="54" xfId="1" applyFont="1" applyFill="1" applyBorder="1" applyAlignment="1">
      <alignment horizontal="center" vertical="center"/>
    </xf>
    <xf numFmtId="41" fontId="11" fillId="2" borderId="57" xfId="1" applyFont="1" applyFill="1" applyBorder="1" applyAlignment="1">
      <alignment vertical="center" shrinkToFit="1"/>
    </xf>
    <xf numFmtId="41" fontId="11" fillId="2" borderId="23" xfId="1" applyFont="1" applyFill="1" applyBorder="1" applyAlignment="1">
      <alignment vertical="center" shrinkToFit="1"/>
    </xf>
    <xf numFmtId="41" fontId="11" fillId="2" borderId="27" xfId="1" applyFont="1" applyFill="1" applyBorder="1" applyAlignment="1">
      <alignment vertical="center" shrinkToFit="1"/>
    </xf>
    <xf numFmtId="41" fontId="11" fillId="2" borderId="38" xfId="1" applyFont="1" applyFill="1" applyBorder="1" applyAlignment="1">
      <alignment vertical="center" shrinkToFit="1"/>
    </xf>
    <xf numFmtId="41" fontId="11" fillId="2" borderId="20" xfId="1" quotePrefix="1" applyFont="1" applyFill="1" applyBorder="1" applyAlignment="1">
      <alignment horizontal="left" vertical="center" indent="1"/>
    </xf>
    <xf numFmtId="41" fontId="11" fillId="2" borderId="0" xfId="1" quotePrefix="1" applyFont="1" applyFill="1" applyBorder="1" applyAlignment="1">
      <alignment horizontal="left" vertical="center" indent="1"/>
    </xf>
    <xf numFmtId="176" fontId="11" fillId="2" borderId="55" xfId="2" applyNumberFormat="1" applyFont="1" applyFill="1" applyBorder="1" applyAlignment="1">
      <alignment horizontal="right" vertical="center" shrinkToFit="1"/>
    </xf>
    <xf numFmtId="176" fontId="11" fillId="2" borderId="103" xfId="2" applyNumberFormat="1" applyFont="1" applyFill="1" applyBorder="1" applyAlignment="1">
      <alignment horizontal="right" vertical="center" shrinkToFit="1"/>
    </xf>
    <xf numFmtId="176" fontId="11" fillId="2" borderId="53" xfId="2" applyNumberFormat="1" applyFont="1" applyFill="1" applyBorder="1" applyAlignment="1">
      <alignment horizontal="right" vertical="center" shrinkToFit="1"/>
    </xf>
    <xf numFmtId="176" fontId="13" fillId="2" borderId="53" xfId="2" applyNumberFormat="1" applyFont="1" applyFill="1" applyBorder="1" applyAlignment="1">
      <alignment horizontal="right" vertical="center" shrinkToFit="1"/>
    </xf>
    <xf numFmtId="176" fontId="11" fillId="2" borderId="101" xfId="2" applyNumberFormat="1" applyFont="1" applyFill="1" applyBorder="1" applyAlignment="1">
      <alignment horizontal="right" vertical="center" shrinkToFit="1"/>
    </xf>
    <xf numFmtId="176" fontId="7" fillId="0" borderId="53" xfId="2" applyNumberFormat="1" applyFont="1" applyFill="1" applyBorder="1" applyAlignment="1">
      <alignment horizontal="right" vertical="center" shrinkToFit="1"/>
    </xf>
    <xf numFmtId="176" fontId="11" fillId="2" borderId="100" xfId="2" applyNumberFormat="1" applyFont="1" applyFill="1" applyBorder="1" applyAlignment="1">
      <alignment horizontal="right" vertical="center" shrinkToFit="1"/>
    </xf>
    <xf numFmtId="176" fontId="11" fillId="2" borderId="82" xfId="2" applyNumberFormat="1" applyFont="1" applyFill="1" applyBorder="1" applyAlignment="1">
      <alignment horizontal="right" vertical="center" shrinkToFit="1"/>
    </xf>
    <xf numFmtId="41" fontId="11" fillId="2" borderId="32" xfId="1" quotePrefix="1" applyFont="1" applyFill="1" applyBorder="1" applyAlignment="1">
      <alignment horizontal="left" vertical="center" indent="1"/>
    </xf>
    <xf numFmtId="41" fontId="11" fillId="2" borderId="10" xfId="1" applyFont="1" applyFill="1" applyBorder="1" applyAlignment="1">
      <alignment horizontal="left" vertical="center" indent="1"/>
    </xf>
    <xf numFmtId="176" fontId="11" fillId="2" borderId="115" xfId="2" applyNumberFormat="1" applyFont="1" applyFill="1" applyBorder="1" applyAlignment="1">
      <alignment horizontal="right" vertical="center" shrinkToFit="1"/>
    </xf>
    <xf numFmtId="176" fontId="11" fillId="2" borderId="81" xfId="2" applyNumberFormat="1" applyFont="1" applyFill="1" applyBorder="1" applyAlignment="1">
      <alignment horizontal="right" vertical="center" shrinkToFit="1"/>
    </xf>
    <xf numFmtId="38" fontId="7" fillId="5" borderId="0" xfId="0" applyNumberFormat="1" applyFont="1" applyFill="1" applyBorder="1" applyAlignment="1">
      <alignment horizontal="center" vertical="center"/>
    </xf>
    <xf numFmtId="176" fontId="7" fillId="2" borderId="0" xfId="0" applyNumberFormat="1" applyFont="1" applyFill="1" applyBorder="1" applyAlignment="1">
      <alignment horizontal="right" vertical="center"/>
    </xf>
    <xf numFmtId="176" fontId="5" fillId="2" borderId="0" xfId="0" applyNumberFormat="1" applyFont="1" applyFill="1" applyBorder="1" applyAlignment="1">
      <alignment horizontal="center" vertical="center"/>
    </xf>
    <xf numFmtId="38" fontId="13" fillId="2" borderId="0" xfId="0" applyNumberFormat="1" applyFont="1" applyFill="1" applyBorder="1" applyAlignment="1">
      <alignment vertical="center"/>
    </xf>
    <xf numFmtId="176" fontId="13" fillId="2" borderId="0" xfId="0" applyNumberFormat="1" applyFont="1" applyFill="1" applyBorder="1" applyAlignment="1">
      <alignment vertical="center"/>
    </xf>
    <xf numFmtId="0" fontId="0" fillId="3" borderId="0" xfId="0" applyFill="1">
      <alignment vertical="center"/>
    </xf>
    <xf numFmtId="0" fontId="9" fillId="3" borderId="0" xfId="0" applyFont="1" applyFill="1" applyAlignment="1"/>
    <xf numFmtId="0" fontId="29" fillId="2" borderId="0" xfId="0" applyFont="1" applyFill="1" applyAlignment="1"/>
    <xf numFmtId="0" fontId="0" fillId="5" borderId="0" xfId="0" applyFill="1" applyBorder="1">
      <alignment vertical="center"/>
    </xf>
    <xf numFmtId="41" fontId="13" fillId="2" borderId="91" xfId="0" quotePrefix="1" applyNumberFormat="1" applyFont="1" applyFill="1" applyBorder="1" applyAlignment="1">
      <alignment horizontal="left" vertical="center" indent="1"/>
    </xf>
    <xf numFmtId="178" fontId="13" fillId="2" borderId="0" xfId="1" applyNumberFormat="1" applyFont="1" applyFill="1" applyBorder="1" applyAlignment="1">
      <alignment vertical="center" shrinkToFit="1"/>
    </xf>
    <xf numFmtId="178" fontId="13" fillId="2" borderId="27" xfId="1" applyNumberFormat="1" applyFont="1" applyFill="1" applyBorder="1" applyAlignment="1">
      <alignment vertical="center" shrinkToFit="1"/>
    </xf>
    <xf numFmtId="178" fontId="13" fillId="2" borderId="28" xfId="1" applyNumberFormat="1" applyFont="1" applyFill="1" applyBorder="1" applyAlignment="1">
      <alignment vertical="center" shrinkToFit="1"/>
    </xf>
    <xf numFmtId="178" fontId="13" fillId="2" borderId="27" xfId="2" applyNumberFormat="1" applyFont="1" applyFill="1" applyBorder="1" applyAlignment="1">
      <alignment vertical="center" shrinkToFit="1"/>
    </xf>
    <xf numFmtId="41" fontId="13" fillId="2" borderId="99" xfId="1" quotePrefix="1" applyFont="1" applyFill="1" applyBorder="1" applyAlignment="1">
      <alignment horizontal="left" vertical="center" indent="1"/>
    </xf>
    <xf numFmtId="41" fontId="13" fillId="2" borderId="20" xfId="1" applyFont="1" applyFill="1" applyBorder="1" applyAlignment="1">
      <alignment horizontal="right" vertical="center" shrinkToFit="1"/>
    </xf>
    <xf numFmtId="176" fontId="13" fillId="2" borderId="112" xfId="2" applyNumberFormat="1" applyFont="1" applyFill="1" applyBorder="1" applyAlignment="1">
      <alignment horizontal="right" vertical="center" shrinkToFit="1"/>
    </xf>
    <xf numFmtId="176" fontId="13" fillId="2" borderId="22" xfId="2" applyNumberFormat="1" applyFont="1" applyFill="1" applyBorder="1" applyAlignment="1">
      <alignment horizontal="right" vertical="center" shrinkToFit="1"/>
    </xf>
    <xf numFmtId="41" fontId="13" fillId="2" borderId="23" xfId="1" applyFont="1" applyFill="1" applyBorder="1" applyAlignment="1">
      <alignment horizontal="right" vertical="center" shrinkToFit="1"/>
    </xf>
    <xf numFmtId="176" fontId="13" fillId="2" borderId="24" xfId="2" applyNumberFormat="1" applyFont="1" applyFill="1" applyBorder="1" applyAlignment="1">
      <alignment horizontal="right" vertical="center" shrinkToFit="1"/>
    </xf>
    <xf numFmtId="41" fontId="13" fillId="2" borderId="25" xfId="1" applyFont="1" applyFill="1" applyBorder="1" applyAlignment="1">
      <alignment horizontal="right" vertical="center" shrinkToFit="1"/>
    </xf>
    <xf numFmtId="41" fontId="13" fillId="2" borderId="0" xfId="1" applyFont="1" applyFill="1" applyBorder="1" applyAlignment="1">
      <alignment horizontal="right" vertical="center" shrinkToFit="1"/>
    </xf>
    <xf numFmtId="41" fontId="13" fillId="2" borderId="27" xfId="1" applyFont="1" applyFill="1" applyBorder="1" applyAlignment="1">
      <alignment horizontal="right" vertical="center" shrinkToFit="1"/>
    </xf>
    <xf numFmtId="176" fontId="5" fillId="0" borderId="8" xfId="2" applyNumberFormat="1" applyFont="1" applyFill="1" applyBorder="1" applyAlignment="1">
      <alignment horizontal="right" vertical="center" shrinkToFit="1"/>
    </xf>
    <xf numFmtId="41" fontId="13" fillId="2" borderId="28" xfId="1" applyFont="1" applyFill="1" applyBorder="1" applyAlignment="1">
      <alignment horizontal="right" vertical="center" shrinkToFit="1"/>
    </xf>
    <xf numFmtId="41" fontId="13" fillId="2" borderId="97" xfId="1" applyFont="1" applyFill="1" applyBorder="1" applyAlignment="1">
      <alignment horizontal="left" vertical="center" indent="1"/>
    </xf>
    <xf numFmtId="41" fontId="13" fillId="2" borderId="1" xfId="1" applyFont="1" applyFill="1" applyBorder="1" applyAlignment="1">
      <alignment horizontal="right" vertical="center" shrinkToFit="1"/>
    </xf>
    <xf numFmtId="41" fontId="13" fillId="2" borderId="67" xfId="1" applyFont="1" applyFill="1" applyBorder="1" applyAlignment="1">
      <alignment horizontal="right" vertical="center" shrinkToFit="1"/>
    </xf>
    <xf numFmtId="41" fontId="13" fillId="2" borderId="68" xfId="1" applyFont="1" applyFill="1" applyBorder="1" applyAlignment="1">
      <alignment horizontal="right" vertical="center" shrinkToFit="1"/>
    </xf>
    <xf numFmtId="41" fontId="13" fillId="2" borderId="91" xfId="1" quotePrefix="1" applyFont="1" applyFill="1" applyBorder="1" applyAlignment="1">
      <alignment horizontal="left" vertical="center" indent="1"/>
    </xf>
    <xf numFmtId="41" fontId="13" fillId="2" borderId="95" xfId="1" quotePrefix="1" applyFont="1" applyFill="1" applyBorder="1" applyAlignment="1">
      <alignment horizontal="left" vertical="center" indent="1"/>
    </xf>
    <xf numFmtId="41" fontId="13" fillId="2" borderId="42" xfId="1" applyFont="1" applyFill="1" applyBorder="1" applyAlignment="1">
      <alignment horizontal="right" vertical="center" shrinkToFit="1"/>
    </xf>
    <xf numFmtId="41" fontId="13" fillId="2" borderId="44" xfId="1" applyFont="1" applyFill="1" applyBorder="1" applyAlignment="1">
      <alignment horizontal="right" vertical="center" shrinkToFit="1"/>
    </xf>
    <xf numFmtId="41" fontId="13" fillId="2" borderId="46" xfId="1" applyFont="1" applyFill="1" applyBorder="1" applyAlignment="1">
      <alignment horizontal="right" vertical="center" shrinkToFit="1"/>
    </xf>
    <xf numFmtId="41" fontId="13" fillId="2" borderId="96" xfId="1" quotePrefix="1" applyFont="1" applyFill="1" applyBorder="1" applyAlignment="1">
      <alignment horizontal="left" vertical="center" indent="1"/>
    </xf>
    <xf numFmtId="41" fontId="13" fillId="2" borderId="48" xfId="1" applyFont="1" applyFill="1" applyBorder="1" applyAlignment="1">
      <alignment horizontal="right" vertical="center" shrinkToFit="1"/>
    </xf>
    <xf numFmtId="41" fontId="13" fillId="2" borderId="50" xfId="1" applyFont="1" applyFill="1" applyBorder="1" applyAlignment="1">
      <alignment horizontal="right" vertical="center" shrinkToFit="1"/>
    </xf>
    <xf numFmtId="41" fontId="13" fillId="2" borderId="52" xfId="1" applyFont="1" applyFill="1" applyBorder="1" applyAlignment="1">
      <alignment horizontal="right" vertical="center" shrinkToFit="1"/>
    </xf>
    <xf numFmtId="0" fontId="9" fillId="2" borderId="0" xfId="0" applyFont="1" applyFill="1" applyBorder="1" applyAlignment="1"/>
    <xf numFmtId="0" fontId="12" fillId="2" borderId="0" xfId="0" applyFont="1" applyFill="1" applyBorder="1">
      <alignment vertical="center"/>
    </xf>
    <xf numFmtId="38" fontId="7" fillId="2" borderId="0" xfId="0" applyNumberFormat="1" applyFont="1" applyFill="1" applyBorder="1" applyAlignment="1">
      <alignment horizontal="center" vertical="center"/>
    </xf>
    <xf numFmtId="176" fontId="7" fillId="2" borderId="0" xfId="0" quotePrefix="1" applyNumberFormat="1" applyFont="1" applyFill="1" applyBorder="1" applyAlignment="1">
      <alignment horizontal="center" vertical="center"/>
    </xf>
    <xf numFmtId="0" fontId="11" fillId="2" borderId="0" xfId="0" applyFont="1" applyFill="1" applyBorder="1" applyAlignment="1">
      <alignment horizontal="left" vertical="center" indent="1"/>
    </xf>
    <xf numFmtId="176" fontId="7" fillId="2" borderId="0" xfId="2" applyNumberFormat="1" applyFont="1" applyFill="1" applyBorder="1" applyAlignment="1">
      <alignment vertical="center" shrinkToFit="1"/>
    </xf>
    <xf numFmtId="0" fontId="13" fillId="2" borderId="0" xfId="0" applyFont="1" applyFill="1" applyBorder="1" applyAlignment="1">
      <alignment horizontal="left" vertical="center" indent="1"/>
    </xf>
    <xf numFmtId="38" fontId="30" fillId="2" borderId="0" xfId="0" applyNumberFormat="1" applyFont="1" applyFill="1" applyBorder="1" applyAlignment="1">
      <alignment vertical="center"/>
    </xf>
    <xf numFmtId="0" fontId="13" fillId="2" borderId="0" xfId="0" applyFont="1" applyFill="1" applyBorder="1">
      <alignment vertical="center"/>
    </xf>
    <xf numFmtId="178" fontId="13" fillId="2" borderId="0" xfId="1" applyNumberFormat="1" applyFont="1" applyFill="1" applyBorder="1">
      <alignment vertical="center"/>
    </xf>
    <xf numFmtId="176" fontId="13" fillId="2" borderId="0" xfId="2" applyNumberFormat="1" applyFont="1" applyFill="1" applyBorder="1">
      <alignment vertical="center"/>
    </xf>
    <xf numFmtId="176" fontId="5" fillId="2" borderId="0" xfId="2" applyNumberFormat="1" applyFont="1" applyFill="1" applyBorder="1" applyAlignment="1">
      <alignment vertical="center"/>
    </xf>
    <xf numFmtId="178" fontId="11" fillId="5" borderId="40" xfId="2" applyNumberFormat="1" applyFont="1" applyFill="1" applyBorder="1" applyAlignment="1">
      <alignment horizontal="center" vertical="center" shrinkToFit="1"/>
    </xf>
    <xf numFmtId="178" fontId="11" fillId="5" borderId="10" xfId="2" applyNumberFormat="1" applyFont="1" applyFill="1" applyBorder="1" applyAlignment="1">
      <alignment horizontal="center" vertical="center" shrinkToFit="1"/>
    </xf>
    <xf numFmtId="178" fontId="11" fillId="5" borderId="18" xfId="2" applyNumberFormat="1" applyFont="1" applyFill="1" applyBorder="1" applyAlignment="1">
      <alignment horizontal="center" vertical="center" shrinkToFit="1"/>
    </xf>
    <xf numFmtId="178" fontId="11" fillId="5" borderId="5" xfId="2" applyNumberFormat="1" applyFont="1" applyFill="1" applyBorder="1" applyAlignment="1">
      <alignment horizontal="center" vertical="center" shrinkToFit="1"/>
    </xf>
    <xf numFmtId="176" fontId="11" fillId="2" borderId="35" xfId="2" applyNumberFormat="1" applyFont="1" applyFill="1" applyBorder="1" applyAlignment="1">
      <alignment horizontal="right" vertical="center" shrinkToFit="1"/>
    </xf>
    <xf numFmtId="176" fontId="11" fillId="2" borderId="32" xfId="2" applyNumberFormat="1" applyFont="1" applyFill="1" applyBorder="1" applyAlignment="1">
      <alignment horizontal="right" vertical="center" shrinkToFit="1"/>
    </xf>
    <xf numFmtId="176" fontId="11" fillId="2" borderId="80" xfId="2" applyNumberFormat="1" applyFont="1" applyFill="1" applyBorder="1" applyAlignment="1">
      <alignment horizontal="right" vertical="center" shrinkToFit="1"/>
    </xf>
    <xf numFmtId="178" fontId="11" fillId="2" borderId="64" xfId="2" applyNumberFormat="1" applyFont="1" applyFill="1" applyBorder="1" applyAlignment="1">
      <alignment horizontal="right" vertical="center" shrinkToFit="1"/>
    </xf>
    <xf numFmtId="178" fontId="11" fillId="2" borderId="60" xfId="2" applyNumberFormat="1" applyFont="1" applyFill="1" applyBorder="1" applyAlignment="1">
      <alignment horizontal="right" vertical="center" shrinkToFit="1"/>
    </xf>
    <xf numFmtId="178" fontId="11" fillId="2" borderId="73" xfId="2" applyNumberFormat="1" applyFont="1" applyFill="1" applyBorder="1" applyAlignment="1">
      <alignment horizontal="right" vertical="center" shrinkToFit="1"/>
    </xf>
    <xf numFmtId="178" fontId="11" fillId="2" borderId="116" xfId="2" applyNumberFormat="1" applyFont="1" applyFill="1" applyBorder="1" applyAlignment="1">
      <alignment horizontal="right" vertical="center" shrinkToFit="1"/>
    </xf>
    <xf numFmtId="178" fontId="11" fillId="2" borderId="117" xfId="2" applyNumberFormat="1" applyFont="1" applyFill="1" applyBorder="1" applyAlignment="1">
      <alignment horizontal="right" vertical="center" shrinkToFit="1"/>
    </xf>
    <xf numFmtId="178" fontId="11" fillId="2" borderId="118" xfId="2" applyNumberFormat="1" applyFont="1" applyFill="1" applyBorder="1" applyAlignment="1">
      <alignment horizontal="right" vertical="center" shrinkToFit="1"/>
    </xf>
    <xf numFmtId="0" fontId="11" fillId="5" borderId="32" xfId="0" quotePrefix="1" applyFont="1" applyFill="1" applyBorder="1" applyAlignment="1">
      <alignment horizontal="center" vertical="center"/>
    </xf>
    <xf numFmtId="0" fontId="11" fillId="5" borderId="31" xfId="0" quotePrefix="1" applyFont="1" applyFill="1" applyBorder="1" applyAlignment="1">
      <alignment horizontal="center" vertical="center"/>
    </xf>
    <xf numFmtId="38" fontId="7" fillId="5" borderId="90" xfId="0" applyNumberFormat="1" applyFont="1" applyFill="1" applyBorder="1" applyAlignment="1">
      <alignment horizontal="center" vertical="center"/>
    </xf>
    <xf numFmtId="38" fontId="7" fillId="5" borderId="91" xfId="0" applyNumberFormat="1" applyFont="1" applyFill="1" applyBorder="1" applyAlignment="1">
      <alignment horizontal="center" vertical="center"/>
    </xf>
    <xf numFmtId="38" fontId="7" fillId="5" borderId="92" xfId="0" applyNumberFormat="1" applyFont="1" applyFill="1" applyBorder="1" applyAlignment="1">
      <alignment horizontal="center" vertical="center"/>
    </xf>
    <xf numFmtId="0" fontId="11" fillId="5" borderId="60" xfId="0" quotePrefix="1" applyFont="1" applyFill="1" applyBorder="1" applyAlignment="1">
      <alignment horizontal="center" vertical="center"/>
    </xf>
    <xf numFmtId="0" fontId="11" fillId="5" borderId="61" xfId="0" quotePrefix="1" applyFont="1" applyFill="1" applyBorder="1" applyAlignment="1">
      <alignment horizontal="center" vertical="center"/>
    </xf>
    <xf numFmtId="0" fontId="11" fillId="5" borderId="10" xfId="0" quotePrefix="1" applyFont="1" applyFill="1" applyBorder="1" applyAlignment="1">
      <alignment horizontal="center" vertical="center"/>
    </xf>
    <xf numFmtId="0" fontId="11" fillId="5" borderId="11" xfId="0" quotePrefix="1" applyFont="1" applyFill="1" applyBorder="1" applyAlignment="1">
      <alignment horizontal="center" vertical="center"/>
    </xf>
    <xf numFmtId="0" fontId="11" fillId="5" borderId="5" xfId="0" quotePrefix="1" applyFont="1" applyFill="1" applyBorder="1" applyAlignment="1">
      <alignment horizontal="center" vertical="center"/>
    </xf>
    <xf numFmtId="0" fontId="11" fillId="5" borderId="16" xfId="0" quotePrefix="1" applyFont="1" applyFill="1" applyBorder="1" applyAlignment="1">
      <alignment horizontal="center" vertical="center"/>
    </xf>
    <xf numFmtId="0" fontId="11" fillId="5" borderId="117" xfId="0" quotePrefix="1" applyFont="1" applyFill="1" applyBorder="1" applyAlignment="1">
      <alignment horizontal="center" vertical="center"/>
    </xf>
    <xf numFmtId="0" fontId="11" fillId="5" borderId="119" xfId="0" quotePrefix="1" applyFont="1" applyFill="1" applyBorder="1" applyAlignment="1">
      <alignment horizontal="center" vertical="center"/>
    </xf>
    <xf numFmtId="38" fontId="7" fillId="5" borderId="10" xfId="0" applyNumberFormat="1" applyFont="1" applyFill="1" applyBorder="1" applyAlignment="1">
      <alignment horizontal="center" vertical="center"/>
    </xf>
    <xf numFmtId="38" fontId="7" fillId="5" borderId="11" xfId="0" applyNumberFormat="1" applyFont="1" applyFill="1" applyBorder="1" applyAlignment="1">
      <alignment horizontal="center" vertical="center"/>
    </xf>
    <xf numFmtId="38" fontId="7" fillId="5" borderId="0" xfId="0" applyNumberFormat="1" applyFont="1" applyFill="1" applyBorder="1" applyAlignment="1">
      <alignment horizontal="center" vertical="center"/>
    </xf>
    <xf numFmtId="38" fontId="7" fillId="5" borderId="14" xfId="0" applyNumberFormat="1" applyFont="1" applyFill="1" applyBorder="1" applyAlignment="1">
      <alignment horizontal="center" vertical="center"/>
    </xf>
    <xf numFmtId="38" fontId="7" fillId="5" borderId="5" xfId="0" applyNumberFormat="1" applyFont="1" applyFill="1" applyBorder="1" applyAlignment="1">
      <alignment horizontal="center" vertical="center"/>
    </xf>
    <xf numFmtId="38" fontId="7" fillId="5" borderId="16" xfId="0" applyNumberFormat="1" applyFont="1" applyFill="1" applyBorder="1" applyAlignment="1">
      <alignment horizontal="center" vertical="center"/>
    </xf>
    <xf numFmtId="178" fontId="11" fillId="5" borderId="40" xfId="1" applyNumberFormat="1" applyFont="1" applyFill="1" applyBorder="1" applyAlignment="1">
      <alignment horizontal="center" vertical="center" shrinkToFit="1"/>
    </xf>
    <xf numFmtId="178" fontId="11" fillId="5" borderId="10" xfId="1" applyNumberFormat="1" applyFont="1" applyFill="1" applyBorder="1" applyAlignment="1">
      <alignment horizontal="center" vertical="center" shrinkToFit="1"/>
    </xf>
    <xf numFmtId="178" fontId="11" fillId="5" borderId="11" xfId="1" applyNumberFormat="1" applyFont="1" applyFill="1" applyBorder="1" applyAlignment="1">
      <alignment horizontal="center" vertical="center" shrinkToFit="1"/>
    </xf>
    <xf numFmtId="178" fontId="11" fillId="5" borderId="18" xfId="1" applyNumberFormat="1" applyFont="1" applyFill="1" applyBorder="1" applyAlignment="1">
      <alignment horizontal="center" vertical="center" shrinkToFit="1"/>
    </xf>
    <xf numFmtId="178" fontId="11" fillId="5" borderId="5" xfId="1" applyNumberFormat="1" applyFont="1" applyFill="1" applyBorder="1" applyAlignment="1">
      <alignment horizontal="center" vertical="center" shrinkToFit="1"/>
    </xf>
    <xf numFmtId="178" fontId="11" fillId="5" borderId="16" xfId="1" applyNumberFormat="1" applyFont="1" applyFill="1" applyBorder="1" applyAlignment="1">
      <alignment horizontal="center" vertical="center" shrinkToFit="1"/>
    </xf>
    <xf numFmtId="176" fontId="11" fillId="2" borderId="31" xfId="2" applyNumberFormat="1" applyFont="1" applyFill="1" applyBorder="1" applyAlignment="1">
      <alignment horizontal="right" vertical="center" shrinkToFit="1"/>
    </xf>
    <xf numFmtId="178" fontId="11" fillId="2" borderId="64" xfId="1" applyNumberFormat="1" applyFont="1" applyFill="1" applyBorder="1" applyAlignment="1">
      <alignment horizontal="right" vertical="center" shrinkToFit="1"/>
    </xf>
    <xf numFmtId="178" fontId="11" fillId="2" borderId="60" xfId="1" applyNumberFormat="1" applyFont="1" applyFill="1" applyBorder="1" applyAlignment="1">
      <alignment horizontal="right" vertical="center" shrinkToFit="1"/>
    </xf>
    <xf numFmtId="178" fontId="11" fillId="2" borderId="61" xfId="1" applyNumberFormat="1" applyFont="1" applyFill="1" applyBorder="1" applyAlignment="1">
      <alignment horizontal="right" vertical="center" shrinkToFit="1"/>
    </xf>
    <xf numFmtId="178" fontId="11" fillId="2" borderId="116" xfId="1" applyNumberFormat="1" applyFont="1" applyFill="1" applyBorder="1" applyAlignment="1">
      <alignment horizontal="right" vertical="center" shrinkToFit="1"/>
    </xf>
    <xf numFmtId="178" fontId="11" fillId="2" borderId="117" xfId="1" applyNumberFormat="1" applyFont="1" applyFill="1" applyBorder="1" applyAlignment="1">
      <alignment horizontal="right" vertical="center" shrinkToFit="1"/>
    </xf>
    <xf numFmtId="178" fontId="11" fillId="2" borderId="119" xfId="1" applyNumberFormat="1" applyFont="1" applyFill="1" applyBorder="1" applyAlignment="1">
      <alignment horizontal="right" vertical="center" shrinkToFit="1"/>
    </xf>
    <xf numFmtId="177" fontId="7" fillId="5" borderId="13" xfId="0" applyNumberFormat="1" applyFont="1" applyFill="1" applyBorder="1" applyAlignment="1">
      <alignment horizontal="center" vertical="center"/>
    </xf>
    <xf numFmtId="177" fontId="7" fillId="5" borderId="12" xfId="0" applyNumberFormat="1" applyFont="1" applyFill="1" applyBorder="1" applyAlignment="1">
      <alignment horizontal="center" vertical="center"/>
    </xf>
    <xf numFmtId="177" fontId="7" fillId="5" borderId="87" xfId="0" applyNumberFormat="1" applyFont="1" applyFill="1" applyBorder="1" applyAlignment="1">
      <alignment horizontal="center" vertical="center"/>
    </xf>
    <xf numFmtId="38" fontId="7" fillId="5" borderId="15" xfId="0" applyNumberFormat="1" applyFont="1" applyFill="1" applyBorder="1" applyAlignment="1">
      <alignment horizontal="center" vertical="center"/>
    </xf>
    <xf numFmtId="38" fontId="7" fillId="5" borderId="18" xfId="0" applyNumberFormat="1" applyFont="1" applyFill="1" applyBorder="1" applyAlignment="1">
      <alignment horizontal="center" vertical="center"/>
    </xf>
    <xf numFmtId="176" fontId="7" fillId="5" borderId="2" xfId="0" quotePrefix="1" applyNumberFormat="1" applyFont="1" applyFill="1" applyBorder="1" applyAlignment="1">
      <alignment horizontal="center" vertical="center" wrapText="1"/>
    </xf>
    <xf numFmtId="176" fontId="7" fillId="5" borderId="4" xfId="0" quotePrefix="1" applyNumberFormat="1" applyFont="1" applyFill="1" applyBorder="1" applyAlignment="1">
      <alignment horizontal="center" vertical="center" wrapText="1"/>
    </xf>
    <xf numFmtId="38" fontId="7" fillId="5" borderId="85" xfId="0" applyNumberFormat="1" applyFont="1" applyFill="1" applyBorder="1" applyAlignment="1">
      <alignment horizontal="center" vertical="center"/>
    </xf>
    <xf numFmtId="38" fontId="7" fillId="5" borderId="86" xfId="0" applyNumberFormat="1" applyFont="1" applyFill="1" applyBorder="1" applyAlignment="1">
      <alignment horizontal="center" vertical="center"/>
    </xf>
    <xf numFmtId="176" fontId="7" fillId="5" borderId="2" xfId="0" applyNumberFormat="1" applyFont="1" applyFill="1" applyBorder="1" applyAlignment="1">
      <alignment horizontal="center" vertical="center" wrapText="1"/>
    </xf>
    <xf numFmtId="176" fontId="7" fillId="5" borderId="4" xfId="0" applyNumberFormat="1" applyFont="1" applyFill="1" applyBorder="1" applyAlignment="1">
      <alignment horizontal="center" vertical="center" wrapText="1"/>
    </xf>
    <xf numFmtId="0" fontId="11" fillId="5" borderId="36" xfId="0" applyFont="1" applyFill="1" applyBorder="1" applyAlignment="1">
      <alignment horizontal="center" vertical="center"/>
    </xf>
    <xf numFmtId="0" fontId="11" fillId="5" borderId="7" xfId="0" applyFont="1" applyFill="1" applyBorder="1" applyAlignment="1">
      <alignment horizontal="center" vertical="center"/>
    </xf>
    <xf numFmtId="0" fontId="11" fillId="5" borderId="29" xfId="0" applyFont="1" applyFill="1" applyBorder="1" applyAlignment="1">
      <alignment horizontal="center" vertical="center"/>
    </xf>
    <xf numFmtId="0" fontId="11" fillId="5" borderId="19" xfId="0" quotePrefix="1" applyFont="1" applyFill="1" applyBorder="1" applyAlignment="1">
      <alignment horizontal="center" vertical="center"/>
    </xf>
    <xf numFmtId="0" fontId="11" fillId="5" borderId="7" xfId="0" quotePrefix="1" applyFont="1" applyFill="1" applyBorder="1" applyAlignment="1">
      <alignment horizontal="center" vertical="center"/>
    </xf>
    <xf numFmtId="0" fontId="11" fillId="5" borderId="29" xfId="0" quotePrefix="1" applyFont="1" applyFill="1" applyBorder="1" applyAlignment="1">
      <alignment horizontal="center" vertical="center"/>
    </xf>
    <xf numFmtId="0" fontId="11" fillId="5" borderId="88" xfId="0" applyFont="1" applyFill="1" applyBorder="1" applyAlignment="1">
      <alignment horizontal="center" vertical="center"/>
    </xf>
    <xf numFmtId="0" fontId="11" fillId="5" borderId="89" xfId="0" applyFont="1" applyFill="1" applyBorder="1" applyAlignment="1">
      <alignment horizontal="center" vertical="center"/>
    </xf>
    <xf numFmtId="38" fontId="7" fillId="2" borderId="0" xfId="0" applyNumberFormat="1" applyFont="1" applyFill="1" applyBorder="1" applyAlignment="1">
      <alignment horizontal="center" vertical="center"/>
    </xf>
    <xf numFmtId="177" fontId="7" fillId="2" borderId="0" xfId="0" applyNumberFormat="1" applyFont="1" applyFill="1" applyBorder="1" applyAlignment="1">
      <alignment horizontal="center" vertical="center"/>
    </xf>
    <xf numFmtId="176" fontId="7" fillId="2" borderId="0" xfId="0" quotePrefix="1" applyNumberFormat="1" applyFont="1" applyFill="1" applyBorder="1" applyAlignment="1">
      <alignment horizontal="center" vertical="center" wrapText="1"/>
    </xf>
    <xf numFmtId="176" fontId="7" fillId="2" borderId="0" xfId="0" applyNumberFormat="1" applyFont="1" applyFill="1" applyBorder="1" applyAlignment="1">
      <alignment horizontal="center" vertical="center" wrapText="1"/>
    </xf>
    <xf numFmtId="0" fontId="26" fillId="2" borderId="2" xfId="0" applyFont="1" applyFill="1" applyBorder="1" applyAlignment="1">
      <alignment horizontal="center" vertical="center"/>
    </xf>
    <xf numFmtId="0" fontId="26" fillId="2" borderId="3" xfId="0" applyFont="1" applyFill="1" applyBorder="1" applyAlignment="1">
      <alignment horizontal="center" vertical="center"/>
    </xf>
    <xf numFmtId="0" fontId="26" fillId="2" borderId="104" xfId="0" applyFont="1" applyFill="1" applyBorder="1" applyAlignment="1">
      <alignment horizontal="center" vertical="center"/>
    </xf>
    <xf numFmtId="0" fontId="26" fillId="2" borderId="67" xfId="0" applyFont="1" applyFill="1" applyBorder="1" applyAlignment="1">
      <alignment horizontal="center" vertical="center"/>
    </xf>
    <xf numFmtId="0" fontId="26" fillId="2" borderId="1" xfId="0" applyFont="1" applyFill="1" applyBorder="1" applyAlignment="1">
      <alignment horizontal="center" vertical="center"/>
    </xf>
    <xf numFmtId="0" fontId="26" fillId="2" borderId="105" xfId="0" applyFont="1" applyFill="1" applyBorder="1" applyAlignment="1">
      <alignment horizontal="center" vertical="center"/>
    </xf>
    <xf numFmtId="0" fontId="26" fillId="2" borderId="63" xfId="0" applyFont="1" applyFill="1" applyBorder="1" applyAlignment="1">
      <alignment horizontal="center" vertical="center"/>
    </xf>
    <xf numFmtId="0" fontId="26" fillId="2" borderId="60" xfId="0" applyFont="1" applyFill="1" applyBorder="1" applyAlignment="1">
      <alignment horizontal="center" vertical="center"/>
    </xf>
    <xf numFmtId="0" fontId="26" fillId="2" borderId="106" xfId="0" applyFont="1" applyFill="1" applyBorder="1" applyAlignment="1">
      <alignment horizontal="center" vertical="center"/>
    </xf>
  </cellXfs>
  <cellStyles count="3">
    <cellStyle name="백분율" xfId="2" builtinId="5"/>
    <cellStyle name="쉼표 [0]" xfId="1" builtinId="6"/>
    <cellStyle name="표준" xfId="0" builtinId="0"/>
  </cellStyles>
  <dxfs count="0"/>
  <tableStyles count="0" defaultTableStyle="TableStyleMedium2" defaultPivotStyle="PivotStyleLight16"/>
  <colors>
    <mruColors>
      <color rgb="FF004851"/>
      <color rgb="FF9BD3DD"/>
      <color rgb="FFCCDADC"/>
      <color rgb="FF00485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3.xml"/><Relationship Id="rId18" Type="http://schemas.openxmlformats.org/officeDocument/2006/relationships/externalLink" Target="externalLinks/externalLink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1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17" Type="http://schemas.openxmlformats.org/officeDocument/2006/relationships/externalLink" Target="externalLinks/externalLink7.xml"/><Relationship Id="rId25" Type="http://schemas.openxmlformats.org/officeDocument/2006/relationships/externalLink" Target="externalLinks/externalLink15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6.xml"/><Relationship Id="rId20" Type="http://schemas.openxmlformats.org/officeDocument/2006/relationships/externalLink" Target="externalLinks/externalLink1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24" Type="http://schemas.openxmlformats.org/officeDocument/2006/relationships/externalLink" Target="externalLinks/externalLink14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5.xml"/><Relationship Id="rId23" Type="http://schemas.openxmlformats.org/officeDocument/2006/relationships/externalLink" Target="externalLinks/externalLink1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4.xml"/><Relationship Id="rId22" Type="http://schemas.openxmlformats.org/officeDocument/2006/relationships/externalLink" Target="externalLinks/externalLink12.xml"/><Relationship Id="rId27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114300</xdr:colOff>
      <xdr:row>2</xdr:row>
      <xdr:rowOff>171450</xdr:rowOff>
    </xdr:from>
    <xdr:to>
      <xdr:col>2</xdr:col>
      <xdr:colOff>371475</xdr:colOff>
      <xdr:row>5</xdr:row>
      <xdr:rowOff>0</xdr:rowOff>
    </xdr:to>
    <xdr:pic>
      <xdr:nvPicPr>
        <xdr:cNvPr id="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533400"/>
          <a:ext cx="809625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31</xdr:row>
      <xdr:rowOff>0</xdr:rowOff>
    </xdr:from>
    <xdr:to>
      <xdr:col>2</xdr:col>
      <xdr:colOff>428625</xdr:colOff>
      <xdr:row>31</xdr:row>
      <xdr:rowOff>152400</xdr:rowOff>
    </xdr:to>
    <xdr:pic>
      <xdr:nvPicPr>
        <xdr:cNvPr id="3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9058275"/>
          <a:ext cx="9810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.%20&#44221;&#50689;&#44592;&#54925;&#54016;/1.%20&#48516;&#49437;&#48143;&#47784;&#45768;&#53552;&#47553;/2.%20&#44032;&#47560;&#44048;/20230718/0717&#48376;&#48512;_&#49552;&#51061;&#50577;&#49885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3.%20IFRS17/%234.%20&#50900;&#48324;&#47560;&#44048;(BSPL)/202306_IFRS17_&#47560;&#44048;&#44288;&#47532;_20230809(&#49345;&#48152;&#44592;&#52572;&#51333;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3.%20IFRS17/0.%20&#51116;&#47924;&#51228;&#54364;/2.%20&#52572;&#51333;/&#47215;&#45936;&#49552;&#54644;&#48372;&#54744;_FY2022%201Q_&#51116;&#47924;&#51228;&#54364;%20&#49328;&#52636;_0428_v27.xlsb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3.%20IFRS17/0.%20&#51116;&#47924;&#51228;&#54364;/2.%20&#52572;&#51333;/&#47215;&#45936;&#49552;&#54644;&#48372;&#54744;_FY2022%202Q_&#51116;&#47924;&#51228;&#54364;%20&#49328;&#52636;_0428_v26.xlsb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3.%20IFRS17/0.%20&#51116;&#47924;&#51228;&#54364;/2.%20&#52572;&#51333;/&#47215;&#45936;&#49552;&#54644;&#48372;&#54744;_FY2022%203Q_&#51116;&#47924;&#51228;&#54364;%20&#49328;&#52636;_0428_v26.xlsb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3.%20IFRS17/0.%20&#51116;&#47924;&#51228;&#54364;/2.%20&#52572;&#51333;/&#47215;&#45936;&#49552;&#54644;&#48372;&#54744;_FY2022%204Q_&#51116;&#47924;&#51228;&#54364;%20&#49328;&#52636;_0428_v33.xlsb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3.%20IFRS17/0.%20&#51116;&#47924;&#51228;&#54364;/2.%20&#52572;&#51333;/&#47215;&#45936;&#49552;&#54644;&#48372;&#54744;_FY2023%203&#50900;_&#51116;&#47924;&#51228;&#54364;_0508_v0.24(&#44277;&#50976;)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3.%20IFRS17/0.%20&#51116;&#47924;&#51228;&#54364;/2.%20&#52572;&#51333;/&#47215;&#45936;&#49552;&#54644;&#48372;&#54744;_FY2023%206&#50900;_&#51116;&#47924;&#51228;&#54364;_v1.51_F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0.%20&#44221;&#50689;&#44592;&#54925;&#54016;/1.%20&#48516;&#49437;&#48143;&#47784;&#45768;&#53552;&#47553;/10.%20&#51109;&#44592;%20&#52292;&#45328;&#48324;%20&#50896;&#49688;&#48372;&#54744;&#47308;/&#9733;(&#54869;&#45824;&#51076;&#50896;&#54924;&#51032;)&#51109;&#44592;_&#52292;&#45328;&#48324;&#50896;&#49688;&#48372;&#54744;&#47308;_&#45817;&#49324;_&#50672;&#46020;&#48324;_&#50900;&#48324;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88;&#47308;/2.&#50629;&#47924;&#48372;&#44256;&#49436;/FY2022/202203/&#47215;&#45936;/N03AI059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88;&#47308;/2.&#50629;&#47924;&#48372;&#44256;&#49436;/FY2022/202206/&#47215;&#45936;/N03AI059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88;&#47308;/2.&#50629;&#47924;&#48372;&#44256;&#49436;/FY2022/202209/&#47215;&#45936;/N03AI059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88;&#47308;/2.&#50629;&#47924;&#48372;&#44256;&#49436;/FY2022/202212/&#47215;&#45936;/N03AI059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88;&#47308;/2.&#50629;&#47924;&#48372;&#44256;&#49436;/FY2023/202303/&#47215;&#45936;/N03AI059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88;&#47308;/2.&#50629;&#47924;&#48372;&#44256;&#49436;/FY2023/202306/&#47215;&#45936;/N03AI05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업데이트"/>
      <sheetName val="최초목표(당월)"/>
      <sheetName val="최초목표(누계)"/>
      <sheetName val="목표(당월)"/>
      <sheetName val="목표(누계)"/>
      <sheetName val="하반기롤링(당월)"/>
      <sheetName val="하반기롤링(누계)"/>
      <sheetName val="20220914 변경1212"/>
      <sheetName val="20220914 변경222222"/>
      <sheetName val="20220914 변경 (2)"/>
      <sheetName val="※ 하반기목표조정"/>
      <sheetName val="수정목표(당월)"/>
      <sheetName val="수정목표(누계)"/>
      <sheetName val="K-IFRS_당월"/>
      <sheetName val="K-IFRS_누계"/>
      <sheetName val="Sheet2"/>
      <sheetName val="Sheet1"/>
      <sheetName val="비교"/>
      <sheetName val="목표(분기)"/>
      <sheetName val="롤링목표(당월)"/>
      <sheetName val="롤링목표(누계)"/>
      <sheetName val="롤링목표(분기)"/>
      <sheetName val="K-IFRS_분기"/>
      <sheetName val="K-IFRS_당월_손조비"/>
      <sheetName val="IAS39손익_당월"/>
      <sheetName val="IAS39손익_누계"/>
      <sheetName val="IAS39손익_분기"/>
      <sheetName val="비교표(9기준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>
        <row r="5">
          <cell r="GD5">
            <v>16655.656640000001</v>
          </cell>
          <cell r="GE5">
            <v>6880.6088549999986</v>
          </cell>
          <cell r="GF5">
            <v>10363.707118999999</v>
          </cell>
          <cell r="GG5">
            <v>11195.858078000005</v>
          </cell>
          <cell r="GH5">
            <v>9008.223791999997</v>
          </cell>
          <cell r="GI5">
            <v>21967.889006999998</v>
          </cell>
          <cell r="GJ5">
            <v>15276.624612</v>
          </cell>
          <cell r="GK5">
            <v>7861.4187899999961</v>
          </cell>
          <cell r="GL5">
            <v>8756.6216910000076</v>
          </cell>
          <cell r="GM5">
            <v>5773.0621510000055</v>
          </cell>
          <cell r="GN5">
            <v>6765.1999129999895</v>
          </cell>
          <cell r="GO5">
            <v>20225.795125999997</v>
          </cell>
          <cell r="GP5">
            <v>15259.96444</v>
          </cell>
          <cell r="GQ5">
            <v>8408.6484070000006</v>
          </cell>
          <cell r="GR5">
            <v>9637.015080000001</v>
          </cell>
          <cell r="GS5">
            <v>9628.7337689999986</v>
          </cell>
          <cell r="GT5">
            <v>10246.974563000003</v>
          </cell>
          <cell r="GU5">
            <v>20677.629405999993</v>
          </cell>
        </row>
        <row r="16">
          <cell r="GD16">
            <v>14178.192738</v>
          </cell>
          <cell r="GE16">
            <v>11934.633196000001</v>
          </cell>
          <cell r="GF16">
            <v>13392.446110999997</v>
          </cell>
          <cell r="GG16">
            <v>11769.172953000001</v>
          </cell>
          <cell r="GH16">
            <v>11588.793892000002</v>
          </cell>
          <cell r="GI16">
            <v>11446.061811999993</v>
          </cell>
          <cell r="GJ16">
            <v>10847.35491200001</v>
          </cell>
          <cell r="GK16">
            <v>11506.804118999993</v>
          </cell>
          <cell r="GL16">
            <v>10207.324922</v>
          </cell>
          <cell r="GM16">
            <v>10184.674265000009</v>
          </cell>
          <cell r="GN16">
            <v>9925.6483379999991</v>
          </cell>
          <cell r="GO16">
            <v>10878.030143000011</v>
          </cell>
          <cell r="GP16">
            <v>11001.580475999999</v>
          </cell>
          <cell r="GQ16">
            <v>11552.112515000001</v>
          </cell>
          <cell r="GR16">
            <v>12882.904652000001</v>
          </cell>
          <cell r="GS16">
            <v>10988.870767</v>
          </cell>
          <cell r="GT16">
            <v>10857.977727999998</v>
          </cell>
          <cell r="GU16">
            <v>10135.810882999998</v>
          </cell>
        </row>
      </sheetData>
      <sheetData sheetId="14">
        <row r="56">
          <cell r="GU56">
            <v>413980.258011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&gt;&gt;BS"/>
      <sheetName val="BS추정(17)"/>
      <sheetName val="BS사업계획(17)"/>
      <sheetName val="BS(17)_전체"/>
      <sheetName val="BS(17)_1000~1500"/>
      <sheetName val="BS(17)_3100~3100"/>
      <sheetName val="BS(17)_3200~3200"/>
      <sheetName val="운용자산"/>
      <sheetName val="&gt;&gt;PL"/>
      <sheetName val="실적(당월)"/>
      <sheetName val="실적(누계)"/>
      <sheetName val="목표비(당월)"/>
      <sheetName val="목표비(누계)"/>
      <sheetName val="목표(당월)"/>
      <sheetName val="목표(누계)"/>
      <sheetName val="PL(17)누계"/>
      <sheetName val="PL(17)당월"/>
      <sheetName val="PL(17)_전체"/>
      <sheetName val="PL(17)_1000~1500"/>
      <sheetName val="PL(17)_3100~3100"/>
      <sheetName val="PL(17)_3200~3200"/>
      <sheetName val="&gt;&gt;시산"/>
      <sheetName val="계정추가확인_전체"/>
      <sheetName val="시산(17)_전체"/>
      <sheetName val="시산(17)_1000~1500"/>
      <sheetName val="시산(17)_3100~3100"/>
      <sheetName val="시산(17)_3200~3200"/>
      <sheetName val="&gt;&gt;투자"/>
      <sheetName val="투자손익월별"/>
      <sheetName val="투자손익_202203"/>
      <sheetName val="투자손익_202206"/>
      <sheetName val="투자손익_202209"/>
      <sheetName val="투자손익_2022"/>
      <sheetName val="투자손익_202301"/>
      <sheetName val="투자손익_202302"/>
      <sheetName val="투자손익_202303"/>
      <sheetName val="투자손익_202304"/>
      <sheetName val="투자손익_202305"/>
      <sheetName val="투자손익_202306"/>
      <sheetName val="&gt;&gt;장기"/>
      <sheetName val="CSM상각률(누계)"/>
      <sheetName val="CSM상각률(분기)"/>
      <sheetName val="CSM상각률(당월)"/>
      <sheetName val="CSM그룹코드미매핑"/>
      <sheetName val="손실비용(누계)"/>
      <sheetName val="손실비용(분기)"/>
      <sheetName val="손실비용(당월)"/>
      <sheetName val="보험금융비용(누계)"/>
      <sheetName val="보험금융비용(분기)"/>
      <sheetName val="보험금융비용(당월)"/>
      <sheetName val="RA"/>
      <sheetName val="장기보험(누계)"/>
      <sheetName val="장기보험(분기)"/>
      <sheetName val="장기보험(당월)"/>
      <sheetName val="손실요소배분"/>
      <sheetName val="&gt;&gt;단기보험"/>
      <sheetName val="일반보험"/>
      <sheetName val="자동차보험"/>
      <sheetName val="&gt;&gt;ARK출력"/>
      <sheetName val="Q(장기)"/>
      <sheetName val="Q(단기)"/>
      <sheetName val="R(원수GOC)"/>
      <sheetName val="R(원수종합)"/>
      <sheetName val="R(재보종합)"/>
      <sheetName val="R(재보비비례)"/>
      <sheetName val="Q(CSM)"/>
      <sheetName val="R(단기_원수)"/>
      <sheetName val="R(단기_수재)"/>
      <sheetName val="R(단기_출재)"/>
      <sheetName val="&gt;&gt;IFRS4&amp;9"/>
      <sheetName val="당월(일반)"/>
      <sheetName val="누계(일반)"/>
      <sheetName val="매핑(일반)"/>
      <sheetName val="시산(일반)"/>
      <sheetName val="당월(퇴직)"/>
      <sheetName val="누계(퇴직)"/>
      <sheetName val="매핑(퇴직)"/>
      <sheetName val="시산(퇴직)"/>
      <sheetName val="&gt;&gt;참고"/>
      <sheetName val="시산조회"/>
      <sheetName val="ODM매핑(원수)"/>
      <sheetName val="ODM매핑(출재)"/>
      <sheetName val="컬럼(장기)"/>
      <sheetName val="컬럼(단기)"/>
      <sheetName val="참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>
        <row r="8">
          <cell r="O8">
            <v>46210.477354000002</v>
          </cell>
          <cell r="P8">
            <v>45087.871052000002</v>
          </cell>
          <cell r="Q8">
            <v>40910.997488999979</v>
          </cell>
          <cell r="R8">
            <v>39511.566304000029</v>
          </cell>
          <cell r="S8">
            <v>12229.733106</v>
          </cell>
          <cell r="T8">
            <v>11436.575865000001</v>
          </cell>
          <cell r="U8">
            <v>12814.729897999996</v>
          </cell>
          <cell r="V8">
            <v>12224.320111000003</v>
          </cell>
          <cell r="W8">
            <v>13470.390594999997</v>
          </cell>
          <cell r="X8">
            <v>14131.216216999997</v>
          </cell>
        </row>
        <row r="10">
          <cell r="O10">
            <v>30188.119747999997</v>
          </cell>
          <cell r="P10">
            <v>22546.313147000008</v>
          </cell>
          <cell r="Q10">
            <v>6767.5554979999852</v>
          </cell>
          <cell r="R10">
            <v>35552.737333000012</v>
          </cell>
          <cell r="S10">
            <v>12505.096366999998</v>
          </cell>
          <cell r="T10">
            <v>-97.8282070000011</v>
          </cell>
          <cell r="U10">
            <v>8220.7939620000016</v>
          </cell>
          <cell r="V10">
            <v>5215.0869400000038</v>
          </cell>
          <cell r="W10">
            <v>-10784.101176</v>
          </cell>
          <cell r="X10">
            <v>4461.9187829999964</v>
          </cell>
        </row>
        <row r="24">
          <cell r="O24">
            <v>6918.5156870000001</v>
          </cell>
          <cell r="P24">
            <v>6939.7993039999992</v>
          </cell>
          <cell r="Q24">
            <v>6420.7749699999995</v>
          </cell>
          <cell r="R24">
            <v>5865.9551930000016</v>
          </cell>
          <cell r="S24">
            <v>2235.8779530000002</v>
          </cell>
          <cell r="T24">
            <v>1625.6827789999998</v>
          </cell>
          <cell r="U24">
            <v>2441.9422500000001</v>
          </cell>
          <cell r="V24">
            <v>1972.9301150000001</v>
          </cell>
          <cell r="W24">
            <v>1996.4317980000001</v>
          </cell>
          <cell r="X24">
            <v>2165.441988999999</v>
          </cell>
        </row>
        <row r="29">
          <cell r="O29">
            <v>17746.576632</v>
          </cell>
          <cell r="P29">
            <v>11849.450803999998</v>
          </cell>
          <cell r="Q29">
            <v>-8016.0418159999981</v>
          </cell>
          <cell r="R29">
            <v>12113.401806999995</v>
          </cell>
          <cell r="S29">
            <v>9255.7171050000015</v>
          </cell>
          <cell r="T29">
            <v>-90.723732000001689</v>
          </cell>
          <cell r="U29">
            <v>4711.1355960000001</v>
          </cell>
          <cell r="V29">
            <v>2541.7314619999997</v>
          </cell>
          <cell r="W29">
            <v>-11025.744286000001</v>
          </cell>
          <cell r="X29">
            <v>2366.7716820000005</v>
          </cell>
        </row>
        <row r="44">
          <cell r="O44">
            <v>24478.238487999999</v>
          </cell>
          <cell r="P44">
            <v>28051.097828000002</v>
          </cell>
          <cell r="Q44">
            <v>21346.214902999996</v>
          </cell>
          <cell r="R44">
            <v>19965.710105000006</v>
          </cell>
          <cell r="S44">
            <v>7091.0073589999993</v>
          </cell>
          <cell r="T44">
            <v>6179.2973480000001</v>
          </cell>
          <cell r="U44">
            <v>6636.1405560000012</v>
          </cell>
          <cell r="V44">
            <v>13123.266082999999</v>
          </cell>
          <cell r="W44">
            <v>8006.1180250000007</v>
          </cell>
          <cell r="X44">
            <v>5324.6149740000019</v>
          </cell>
        </row>
        <row r="48">
          <cell r="O48">
            <v>41909.242607</v>
          </cell>
          <cell r="P48">
            <v>39327.116765000006</v>
          </cell>
          <cell r="Q48">
            <v>37620.979526999996</v>
          </cell>
          <cell r="R48">
            <v>34997.132332999987</v>
          </cell>
          <cell r="S48">
            <v>11075.514020999999</v>
          </cell>
          <cell r="T48">
            <v>9778.5378399999991</v>
          </cell>
          <cell r="U48">
            <v>10765.259874999998</v>
          </cell>
          <cell r="V48">
            <v>10054.011072000003</v>
          </cell>
          <cell r="W48">
            <v>10671.758086</v>
          </cell>
          <cell r="X48">
            <v>10193.234500000006</v>
          </cell>
        </row>
        <row r="50">
          <cell r="O50">
            <v>30512.722933000001</v>
          </cell>
          <cell r="P50">
            <v>28940.981620000006</v>
          </cell>
          <cell r="Q50">
            <v>27730.012063000002</v>
          </cell>
          <cell r="R50">
            <v>37819.826428999986</v>
          </cell>
          <cell r="S50">
            <v>7980.3227919999999</v>
          </cell>
          <cell r="T50">
            <v>7494.1659149999996</v>
          </cell>
          <cell r="U50">
            <v>4771.4535939999969</v>
          </cell>
          <cell r="V50">
            <v>8134.1104149999992</v>
          </cell>
          <cell r="W50">
            <v>8177.3665439999977</v>
          </cell>
          <cell r="X50">
            <v>7889.6220970000086</v>
          </cell>
        </row>
        <row r="64">
          <cell r="O64">
            <v>7681.7390729999997</v>
          </cell>
          <cell r="P64">
            <v>7762.9109150000004</v>
          </cell>
          <cell r="Q64">
            <v>7516.2760299999982</v>
          </cell>
          <cell r="R64">
            <v>7560.5362960000002</v>
          </cell>
          <cell r="S64">
            <v>2469.4615339999996</v>
          </cell>
          <cell r="T64">
            <v>2274.2249430000002</v>
          </cell>
          <cell r="U64">
            <v>3021.1471540000002</v>
          </cell>
          <cell r="V64">
            <v>2237.9847049999998</v>
          </cell>
          <cell r="W64">
            <v>2620.4587359999996</v>
          </cell>
          <cell r="X64">
            <v>2105.4452760000013</v>
          </cell>
        </row>
        <row r="69">
          <cell r="O69">
            <v>2937.2016560000002</v>
          </cell>
          <cell r="P69">
            <v>2534.5640260000014</v>
          </cell>
          <cell r="Q69">
            <v>4388.8484550000003</v>
          </cell>
          <cell r="R69">
            <v>4472.2886869999984</v>
          </cell>
          <cell r="S69">
            <v>316.99739999999991</v>
          </cell>
          <cell r="T69">
            <v>1312.2914839999996</v>
          </cell>
          <cell r="U69">
            <v>113.63924899999986</v>
          </cell>
          <cell r="V69">
            <v>871.38598900000056</v>
          </cell>
          <cell r="W69">
            <v>792.96039699999835</v>
          </cell>
          <cell r="X69">
            <v>498.9881480000023</v>
          </cell>
        </row>
        <row r="84">
          <cell r="O84">
            <v>4424.3560440000001</v>
          </cell>
          <cell r="P84">
            <v>4454.9409299999998</v>
          </cell>
          <cell r="Q84">
            <v>4376.8951820000002</v>
          </cell>
          <cell r="R84">
            <v>4189.8382279999996</v>
          </cell>
          <cell r="S84">
            <v>1314.761174</v>
          </cell>
          <cell r="T84">
            <v>1100.2570940000001</v>
          </cell>
          <cell r="U84">
            <v>1062.6637369999999</v>
          </cell>
          <cell r="V84">
            <v>941.4187609999999</v>
          </cell>
          <cell r="W84">
            <v>942.0159790000007</v>
          </cell>
          <cell r="X84">
            <v>784.60999399999946</v>
          </cell>
        </row>
        <row r="89">
          <cell r="O89">
            <v>37601.170355000002</v>
          </cell>
          <cell r="P89">
            <v>39321.001323999997</v>
          </cell>
          <cell r="Q89">
            <v>40752.41737499999</v>
          </cell>
          <cell r="R89">
            <v>39788.390320000006</v>
          </cell>
          <cell r="S89">
            <v>13344.976753000001</v>
          </cell>
          <cell r="T89">
            <v>13623.057298</v>
          </cell>
          <cell r="U89">
            <v>14057.913651000001</v>
          </cell>
          <cell r="V89">
            <v>14342.513304999995</v>
          </cell>
          <cell r="W89">
            <v>14161.913640000001</v>
          </cell>
          <cell r="X89">
            <v>14808.855586000005</v>
          </cell>
        </row>
        <row r="93">
          <cell r="O93">
            <v>5479.4238420000001</v>
          </cell>
          <cell r="P93">
            <v>5826.9891490000009</v>
          </cell>
          <cell r="Q93">
            <v>5719.1426669999983</v>
          </cell>
          <cell r="R93">
            <v>5217.3595160000023</v>
          </cell>
          <cell r="S93">
            <v>1736.7650449999999</v>
          </cell>
          <cell r="T93">
            <v>1461.1722</v>
          </cell>
          <cell r="U93">
            <v>1429.1760779999997</v>
          </cell>
          <cell r="V93">
            <v>1793.1390159999999</v>
          </cell>
          <cell r="W93">
            <v>1523.9464530000007</v>
          </cell>
          <cell r="X93">
            <v>1543.3959340000001</v>
          </cell>
        </row>
        <row r="94">
          <cell r="O94">
            <v>184894.59503600001</v>
          </cell>
          <cell r="P94">
            <v>188680.34401499998</v>
          </cell>
          <cell r="Q94">
            <v>190872.95827199996</v>
          </cell>
          <cell r="R94">
            <v>194890.75075500004</v>
          </cell>
          <cell r="S94">
            <v>67058.499014000001</v>
          </cell>
          <cell r="T94">
            <v>67628.631960000013</v>
          </cell>
          <cell r="U94">
            <v>68503.951190999986</v>
          </cell>
          <cell r="V94">
            <v>68749.243948999996</v>
          </cell>
          <cell r="W94">
            <v>69206.149571000016</v>
          </cell>
          <cell r="X94">
            <v>69926.760624999995</v>
          </cell>
        </row>
        <row r="95">
          <cell r="O95">
            <v>6755.8866580000004</v>
          </cell>
          <cell r="P95">
            <v>6899.0467450000015</v>
          </cell>
          <cell r="Q95">
            <v>7028.7901329999986</v>
          </cell>
          <cell r="R95">
            <v>7165.9052619999984</v>
          </cell>
          <cell r="S95">
            <v>2457.8915259999999</v>
          </cell>
          <cell r="T95">
            <v>2477.9520000000002</v>
          </cell>
          <cell r="U95">
            <v>2509.2949440000007</v>
          </cell>
          <cell r="V95">
            <v>2518.2074339999999</v>
          </cell>
          <cell r="W95">
            <v>2537.5647699999986</v>
          </cell>
          <cell r="X95">
            <v>2568.9675359999997</v>
          </cell>
        </row>
        <row r="96">
          <cell r="O96">
            <v>3476.842281188101</v>
          </cell>
          <cell r="P96">
            <v>3461.6014849444014</v>
          </cell>
          <cell r="Q96">
            <v>3683.871645071406</v>
          </cell>
          <cell r="R96">
            <v>4196.215676009092</v>
          </cell>
          <cell r="S96">
            <v>2103.0081015260012</v>
          </cell>
          <cell r="T96">
            <v>2209.5487463435975</v>
          </cell>
          <cell r="U96">
            <v>2277.382437878407</v>
          </cell>
          <cell r="V96">
            <v>2329.3818272579983</v>
          </cell>
          <cell r="W96">
            <v>2346.789440393411</v>
          </cell>
          <cell r="X96">
            <v>2417.2146411745985</v>
          </cell>
        </row>
        <row r="97">
          <cell r="O97">
            <v>24426.089448999999</v>
          </cell>
          <cell r="P97">
            <v>24836.469007</v>
          </cell>
          <cell r="Q97">
            <v>25343.369015999997</v>
          </cell>
          <cell r="R97">
            <v>25964.869503000002</v>
          </cell>
          <cell r="S97">
            <v>8855.5859380000002</v>
          </cell>
          <cell r="T97">
            <v>8967.3845619999993</v>
          </cell>
          <cell r="U97">
            <v>9079.284275</v>
          </cell>
          <cell r="V97">
            <v>8950.6920050000026</v>
          </cell>
          <cell r="W97">
            <v>9009.4954559999969</v>
          </cell>
          <cell r="X97">
            <v>9112.5917210000061</v>
          </cell>
        </row>
        <row r="98">
          <cell r="O98">
            <v>852.153322</v>
          </cell>
          <cell r="P98">
            <v>862.98748599999988</v>
          </cell>
          <cell r="Q98">
            <v>867.58527500000002</v>
          </cell>
          <cell r="R98">
            <v>876.4766340000001</v>
          </cell>
          <cell r="S98">
            <v>276.68559899999997</v>
          </cell>
          <cell r="T98">
            <v>277.35162400000002</v>
          </cell>
          <cell r="U98">
            <v>278.93740700000001</v>
          </cell>
          <cell r="V98">
            <v>280.27643999999992</v>
          </cell>
          <cell r="W98">
            <v>280.87520600000016</v>
          </cell>
          <cell r="X98">
            <v>282.43325699999991</v>
          </cell>
        </row>
        <row r="100">
          <cell r="O100">
            <v>182775.65077400001</v>
          </cell>
          <cell r="P100">
            <v>185840.34657800003</v>
          </cell>
          <cell r="Q100">
            <v>187928.03369299995</v>
          </cell>
          <cell r="R100">
            <v>191376.30528199999</v>
          </cell>
          <cell r="S100">
            <v>63931.728236999996</v>
          </cell>
          <cell r="T100">
            <v>66590.902628999989</v>
          </cell>
          <cell r="U100">
            <v>65581.812797999984</v>
          </cell>
          <cell r="V100">
            <v>64931.488432000013</v>
          </cell>
          <cell r="W100">
            <v>65948.598762000023</v>
          </cell>
          <cell r="X100">
            <v>67616.025363999957</v>
          </cell>
        </row>
        <row r="105">
          <cell r="O105">
            <v>-12283.677392</v>
          </cell>
          <cell r="P105">
            <v>-14113.236021000001</v>
          </cell>
          <cell r="Q105">
            <v>-14084.975513000012</v>
          </cell>
          <cell r="R105">
            <v>-995.13679099996466</v>
          </cell>
          <cell r="S105">
            <v>1102.0366360000032</v>
          </cell>
          <cell r="T105">
            <v>517.35978799999384</v>
          </cell>
          <cell r="U105">
            <v>-3772.6985540000042</v>
          </cell>
          <cell r="V105">
            <v>-3322.5105999999942</v>
          </cell>
          <cell r="W105">
            <v>-1443.6074240000096</v>
          </cell>
          <cell r="X105">
            <v>-3845.8146029999766</v>
          </cell>
        </row>
        <row r="111">
          <cell r="O111">
            <v>6017.8260659999996</v>
          </cell>
          <cell r="P111">
            <v>5870.1290199999994</v>
          </cell>
          <cell r="Q111">
            <v>6278.0157489999992</v>
          </cell>
          <cell r="R111">
            <v>6506.8076620000002</v>
          </cell>
          <cell r="S111">
            <v>2199.7834829999997</v>
          </cell>
          <cell r="T111">
            <v>2298.9427719999999</v>
          </cell>
          <cell r="U111">
            <v>2269.5798510000004</v>
          </cell>
          <cell r="V111">
            <v>2238.3553160000006</v>
          </cell>
          <cell r="W111">
            <v>2269.9116219999992</v>
          </cell>
          <cell r="X111">
            <v>2343.7923790000013</v>
          </cell>
        </row>
        <row r="112">
          <cell r="O112">
            <v>5200.3438889999998</v>
          </cell>
          <cell r="P112">
            <v>8096.6512130000001</v>
          </cell>
          <cell r="Q112">
            <v>5285.8227260000003</v>
          </cell>
          <cell r="R112">
            <v>4017.3190369999984</v>
          </cell>
          <cell r="S112">
            <v>4522.0618180000001</v>
          </cell>
          <cell r="T112">
            <v>26.10172999999989</v>
          </cell>
          <cell r="U112">
            <v>22.067361999999946</v>
          </cell>
          <cell r="V112">
            <v>790.48345300000028</v>
          </cell>
          <cell r="W112">
            <v>240.65057400000001</v>
          </cell>
          <cell r="X112">
            <v>93.645819999999702</v>
          </cell>
        </row>
        <row r="113">
          <cell r="O113">
            <v>5711.3864343634796</v>
          </cell>
          <cell r="P113">
            <v>5758.1028040870005</v>
          </cell>
          <cell r="Q113">
            <v>5835.1938357559202</v>
          </cell>
          <cell r="R113">
            <v>6679.5096461647117</v>
          </cell>
          <cell r="S113">
            <v>2430.84371329023</v>
          </cell>
          <cell r="T113">
            <v>2257.4660267712693</v>
          </cell>
          <cell r="U113">
            <v>2478.7082907681215</v>
          </cell>
          <cell r="V113">
            <v>2906.1739112465302</v>
          </cell>
          <cell r="W113">
            <v>2587.0813632913992</v>
          </cell>
          <cell r="X113">
            <v>2803.34911886178</v>
          </cell>
        </row>
        <row r="114">
          <cell r="O114">
            <v>22868.044782999998</v>
          </cell>
          <cell r="P114">
            <v>26617.876342</v>
          </cell>
          <cell r="Q114">
            <v>27175.516666000003</v>
          </cell>
          <cell r="R114">
            <v>28713.218340999993</v>
          </cell>
          <cell r="S114">
            <v>9557.4521839999998</v>
          </cell>
          <cell r="T114">
            <v>9197.3195660000001</v>
          </cell>
          <cell r="U114">
            <v>7726.4645189999983</v>
          </cell>
          <cell r="V114">
            <v>9179.8054009999978</v>
          </cell>
          <cell r="W114">
            <v>8705.4162790000028</v>
          </cell>
          <cell r="X114">
            <v>8577.3979650000056</v>
          </cell>
        </row>
        <row r="115">
          <cell r="O115">
            <v>603.41461200000003</v>
          </cell>
          <cell r="P115">
            <v>603.3242110000001</v>
          </cell>
          <cell r="Q115">
            <v>636.75572199999999</v>
          </cell>
          <cell r="R115">
            <v>751.15455999999983</v>
          </cell>
          <cell r="S115">
            <v>335.90238900000003</v>
          </cell>
          <cell r="T115">
            <v>281.39081100000004</v>
          </cell>
          <cell r="U115">
            <v>247.74385699999993</v>
          </cell>
          <cell r="V115">
            <v>273.42578100000009</v>
          </cell>
          <cell r="W115">
            <v>333.21925799999991</v>
          </cell>
          <cell r="X115">
            <v>314.43639700000006</v>
          </cell>
        </row>
        <row r="116">
          <cell r="O116">
            <v>1556.656217</v>
          </cell>
          <cell r="P116">
            <v>1027.5623560000001</v>
          </cell>
          <cell r="Q116">
            <v>1921.9372709999998</v>
          </cell>
          <cell r="R116">
            <v>2667.3323960000007</v>
          </cell>
          <cell r="S116">
            <v>2695.5387310000001</v>
          </cell>
          <cell r="T116">
            <v>2200.1913690000001</v>
          </cell>
          <cell r="U116">
            <v>-530.54950599999984</v>
          </cell>
          <cell r="V116">
            <v>1477.9337909999995</v>
          </cell>
          <cell r="W116">
            <v>1578.9873870000008</v>
          </cell>
          <cell r="X116">
            <v>1113.0765040000001</v>
          </cell>
        </row>
        <row r="117">
          <cell r="O117">
            <v>-3655.0264689999985</v>
          </cell>
          <cell r="P117">
            <v>-6687.7765439999966</v>
          </cell>
          <cell r="Q117">
            <v>-3821.2064349999973</v>
          </cell>
          <cell r="R117">
            <v>-4902.2750609999985</v>
          </cell>
          <cell r="S117">
            <v>-4285.1759110000003</v>
          </cell>
          <cell r="T117">
            <v>-1131.8851019999993</v>
          </cell>
          <cell r="U117">
            <v>681.09626199999889</v>
          </cell>
          <cell r="V117">
            <v>-4389.1512920000005</v>
          </cell>
          <cell r="W117">
            <v>-381.87669000000596</v>
          </cell>
          <cell r="X117">
            <v>-1677.5348339999898</v>
          </cell>
        </row>
        <row r="181">
          <cell r="O181">
            <v>-1037.3833570000004</v>
          </cell>
          <cell r="P181">
            <v>-149.35908300000006</v>
          </cell>
          <cell r="Q181">
            <v>2064.945968</v>
          </cell>
          <cell r="R181">
            <v>-7152.5818470000013</v>
          </cell>
          <cell r="S181">
            <v>-436.834563</v>
          </cell>
          <cell r="T181">
            <v>73.765161999999933</v>
          </cell>
          <cell r="U181">
            <v>-1056.8377350000001</v>
          </cell>
          <cell r="V181">
            <v>85.621055000000126</v>
          </cell>
          <cell r="W181">
            <v>8.592670000000119</v>
          </cell>
          <cell r="X181">
            <v>351.12958999999972</v>
          </cell>
        </row>
        <row r="195">
          <cell r="O195">
            <v>-2410.3862949999998</v>
          </cell>
          <cell r="P195">
            <v>-2449.4106539999998</v>
          </cell>
          <cell r="Q195">
            <v>-2226.6517129999997</v>
          </cell>
          <cell r="R195">
            <v>-3423.8128950000005</v>
          </cell>
          <cell r="S195">
            <v>0.39920700000000003</v>
          </cell>
          <cell r="T195">
            <v>766.73376100000007</v>
          </cell>
          <cell r="U195">
            <v>-646.56880600000011</v>
          </cell>
          <cell r="V195">
            <v>434.59955400000007</v>
          </cell>
          <cell r="W195">
            <v>-324.12721000000005</v>
          </cell>
          <cell r="X195">
            <v>-18.578426000000015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>
        <row r="72">
          <cell r="H72">
            <v>439.78235587999978</v>
          </cell>
          <cell r="I72">
            <v>515.39599646999977</v>
          </cell>
          <cell r="J72">
            <v>488.22848902000044</v>
          </cell>
          <cell r="K72">
            <v>466.87538550000068</v>
          </cell>
          <cell r="L72">
            <v>888.22452375999978</v>
          </cell>
          <cell r="M72">
            <v>-161.55338410999957</v>
          </cell>
          <cell r="N72">
            <v>482.70424957</v>
          </cell>
          <cell r="O72">
            <v>238.48728581</v>
          </cell>
          <cell r="P72">
            <v>126.27918796999984</v>
          </cell>
          <cell r="Q72">
            <v>-39.202018569999836</v>
          </cell>
        </row>
        <row r="84">
          <cell r="H84">
            <v>0</v>
          </cell>
          <cell r="I84">
            <v>-1.96612648</v>
          </cell>
          <cell r="J84">
            <v>-0.44098940000000009</v>
          </cell>
          <cell r="K84">
            <v>-0.85792642000000008</v>
          </cell>
          <cell r="L84">
            <v>0</v>
          </cell>
          <cell r="M84">
            <v>0</v>
          </cell>
          <cell r="N84">
            <v>-2.0772906099999999</v>
          </cell>
          <cell r="O84">
            <v>0</v>
          </cell>
          <cell r="P84">
            <v>0</v>
          </cell>
          <cell r="Q84">
            <v>-1.8844668900000001</v>
          </cell>
        </row>
        <row r="92">
          <cell r="H92">
            <v>-375.63198720999998</v>
          </cell>
          <cell r="I92">
            <v>-609.6704943999996</v>
          </cell>
          <cell r="J92">
            <v>-573.8417123399995</v>
          </cell>
          <cell r="K92">
            <v>-988.79488307000111</v>
          </cell>
          <cell r="L92">
            <v>0</v>
          </cell>
          <cell r="M92">
            <v>0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</row>
        <row r="94">
          <cell r="H94">
            <v>374.79551309999999</v>
          </cell>
          <cell r="I94">
            <v>372.18852013999992</v>
          </cell>
          <cell r="J94">
            <v>357.14571670999999</v>
          </cell>
          <cell r="K94">
            <v>344.79367868000008</v>
          </cell>
          <cell r="L94">
            <v>108.92481241999999</v>
          </cell>
          <cell r="M94">
            <v>112.41705647000003</v>
          </cell>
          <cell r="N94">
            <v>138.46736514999995</v>
          </cell>
          <cell r="O94">
            <v>127.57415020999997</v>
          </cell>
          <cell r="P94">
            <v>100.52686386000005</v>
          </cell>
          <cell r="Q94">
            <v>125.25282238</v>
          </cell>
        </row>
        <row r="95">
          <cell r="H95">
            <v>43.976048799999944</v>
          </cell>
          <cell r="I95">
            <v>44.968947880000087</v>
          </cell>
          <cell r="J95">
            <v>46.339523500000041</v>
          </cell>
          <cell r="K95">
            <v>48.641409800000019</v>
          </cell>
          <cell r="L95">
            <v>17.180580899999995</v>
          </cell>
          <cell r="M95">
            <v>15.398041000000092</v>
          </cell>
          <cell r="N95">
            <v>16.906257300000163</v>
          </cell>
          <cell r="O95">
            <v>16.353934899999672</v>
          </cell>
          <cell r="P95">
            <v>17.448489200000154</v>
          </cell>
          <cell r="Q95">
            <v>16.964154000000008</v>
          </cell>
        </row>
        <row r="96">
          <cell r="H96">
            <v>-20.643516880000007</v>
          </cell>
          <cell r="I96">
            <v>-10.297162759999978</v>
          </cell>
          <cell r="J96">
            <v>-7.5846254200000232</v>
          </cell>
          <cell r="K96">
            <v>-13.572178720000011</v>
          </cell>
          <cell r="L96">
            <v>-10.592482410000001</v>
          </cell>
          <cell r="M96">
            <v>-16.530285400000011</v>
          </cell>
          <cell r="N96">
            <v>-18.60079198</v>
          </cell>
          <cell r="O96">
            <v>-17.433684509999992</v>
          </cell>
          <cell r="P96">
            <v>-16.737767209999987</v>
          </cell>
          <cell r="Q96">
            <v>-18.453824319999981</v>
          </cell>
        </row>
        <row r="104">
          <cell r="H104">
            <v>688.42459236000013</v>
          </cell>
          <cell r="I104">
            <v>787.35090893000006</v>
          </cell>
          <cell r="J104">
            <v>844.09259796999959</v>
          </cell>
          <cell r="K104">
            <v>-452.16979980999986</v>
          </cell>
          <cell r="L104">
            <v>307.33312000000001</v>
          </cell>
          <cell r="M104">
            <v>37.53872795999996</v>
          </cell>
          <cell r="N104">
            <v>136.08882679000016</v>
          </cell>
          <cell r="O104">
            <v>255.80185204000003</v>
          </cell>
          <cell r="P104">
            <v>153.6989384000002</v>
          </cell>
          <cell r="Q104">
            <v>338.98212948999958</v>
          </cell>
        </row>
        <row r="116">
          <cell r="H116">
            <v>0</v>
          </cell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</row>
        <row r="124">
          <cell r="H124">
            <v>-200.08356109999997</v>
          </cell>
          <cell r="I124">
            <v>-258.10386011000003</v>
          </cell>
          <cell r="J124">
            <v>-369.35262867</v>
          </cell>
          <cell r="K124">
            <v>827.54004987999997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</row>
        <row r="125">
          <cell r="H125">
            <v>512.89523450000002</v>
          </cell>
          <cell r="I125">
            <v>515.75052462999997</v>
          </cell>
          <cell r="J125">
            <v>545.17556527000011</v>
          </cell>
          <cell r="K125">
            <v>568.87242881999987</v>
          </cell>
          <cell r="L125">
            <v>220.71081177999997</v>
          </cell>
          <cell r="M125">
            <v>208.00538682000001</v>
          </cell>
          <cell r="N125">
            <v>228.28466104000006</v>
          </cell>
          <cell r="O125">
            <v>231.04948989999991</v>
          </cell>
          <cell r="P125">
            <v>239.04446588000008</v>
          </cell>
          <cell r="Q125">
            <v>234.05606773000022</v>
          </cell>
        </row>
        <row r="128">
          <cell r="H128">
            <v>7.3922729999821968E-2</v>
          </cell>
          <cell r="I128">
            <v>8.0376009999781672E-2</v>
          </cell>
          <cell r="J128">
            <v>8.1171459997449347E-2</v>
          </cell>
          <cell r="K128">
            <v>8.029377000320892E-2</v>
          </cell>
          <cell r="L128">
            <v>2.5149210000336097E-2</v>
          </cell>
          <cell r="M128">
            <v>7.1662000004835136E-4</v>
          </cell>
          <cell r="N128">
            <v>5.284896999967259E-2</v>
          </cell>
          <cell r="O128">
            <v>2.7567359999352448E-2</v>
          </cell>
          <cell r="P128">
            <v>2.8421939999475399E-2</v>
          </cell>
          <cell r="Q128">
            <v>2.7277130002175909E-2</v>
          </cell>
        </row>
      </sheetData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>
        <row r="11">
          <cell r="F11">
            <v>16420.904636390103</v>
          </cell>
          <cell r="I11">
            <v>16829.42536130621</v>
          </cell>
          <cell r="L11">
            <v>17206.879081705694</v>
          </cell>
          <cell r="O11">
            <v>17808.763430979281</v>
          </cell>
          <cell r="V11">
            <v>18004.625677618595</v>
          </cell>
          <cell r="Y11">
            <v>18020.989707580789</v>
          </cell>
          <cell r="AB11">
            <v>18501.914933969067</v>
          </cell>
          <cell r="AE11">
            <v>18949.268823858325</v>
          </cell>
          <cell r="AH11">
            <v>19136.323515674965</v>
          </cell>
          <cell r="AK11">
            <v>19342.688725171549</v>
          </cell>
        </row>
        <row r="12">
          <cell r="F12">
            <v>722.13555861759392</v>
          </cell>
          <cell r="I12">
            <v>788.65575089554727</v>
          </cell>
          <cell r="L12">
            <v>1153.1674613941525</v>
          </cell>
          <cell r="O12">
            <v>1272.4148495741038</v>
          </cell>
          <cell r="V12">
            <v>487.86976623971788</v>
          </cell>
          <cell r="Y12">
            <v>556.2206686008858</v>
          </cell>
          <cell r="AB12">
            <v>507.39493150063777</v>
          </cell>
          <cell r="AE12">
            <v>354.546914745084</v>
          </cell>
          <cell r="AH12">
            <v>315.91797695858031</v>
          </cell>
          <cell r="AK12">
            <v>429.05942851650661</v>
          </cell>
        </row>
        <row r="13">
          <cell r="F13">
            <v>-0.95922329192099909</v>
          </cell>
          <cell r="I13">
            <v>6.6170779164632592</v>
          </cell>
          <cell r="L13">
            <v>2.8193363635077802</v>
          </cell>
          <cell r="O13">
            <v>-58.156219348991684</v>
          </cell>
          <cell r="V13">
            <v>25.375535165877505</v>
          </cell>
          <cell r="Y13">
            <v>-20.768662559822953</v>
          </cell>
          <cell r="AB13">
            <v>-25.320660769926135</v>
          </cell>
          <cell r="AE13">
            <v>-11.011431190161456</v>
          </cell>
          <cell r="AH13">
            <v>-16.133665304828536</v>
          </cell>
          <cell r="AK13">
            <v>-15.191857258921956</v>
          </cell>
        </row>
        <row r="14">
          <cell r="F14">
            <v>154.33663848111135</v>
          </cell>
          <cell r="I14">
            <v>160.94474910938214</v>
          </cell>
          <cell r="L14">
            <v>169.67471003058793</v>
          </cell>
          <cell r="O14">
            <v>177.68696914863366</v>
          </cell>
          <cell r="V14">
            <v>58.700287288128017</v>
          </cell>
          <cell r="Y14">
            <v>60.914265909274782</v>
          </cell>
          <cell r="AB14">
            <v>63.063825267031561</v>
          </cell>
          <cell r="AE14">
            <v>62.244906480813853</v>
          </cell>
          <cell r="AH14">
            <v>63.593393174983873</v>
          </cell>
          <cell r="AK14">
            <v>69.422966248583862</v>
          </cell>
        </row>
        <row r="15">
          <cell r="F15">
            <v>2.9737451210889003</v>
          </cell>
          <cell r="I15">
            <v>-125.94909576767108</v>
          </cell>
          <cell r="L15">
            <v>-376.43846727499982</v>
          </cell>
          <cell r="O15">
            <v>-1215.3539969112635</v>
          </cell>
          <cell r="V15">
            <v>-272.80088958459908</v>
          </cell>
          <cell r="Y15">
            <v>-146.9675743902331</v>
          </cell>
          <cell r="AB15">
            <v>-124.52306203679194</v>
          </cell>
          <cell r="AE15">
            <v>-235.06293201137771</v>
          </cell>
          <cell r="AH15">
            <v>-50.035985005726843</v>
          </cell>
          <cell r="AK15">
            <v>-34.084118237287612</v>
          </cell>
        </row>
        <row r="16">
          <cell r="F16">
            <v>-329.58916610300957</v>
          </cell>
          <cell r="I16">
            <v>-304.83565960677919</v>
          </cell>
          <cell r="L16">
            <v>-84.766352930306226</v>
          </cell>
          <cell r="O16">
            <v>570.33563836132237</v>
          </cell>
          <cell r="V16">
            <v>2.8634065330588929</v>
          </cell>
          <cell r="Y16">
            <v>62.781579849359929</v>
          </cell>
          <cell r="AB16">
            <v>34.710146078545449</v>
          </cell>
          <cell r="AE16">
            <v>167.92707911166002</v>
          </cell>
          <cell r="AH16">
            <v>-25.0815663984053</v>
          </cell>
          <cell r="AK16">
            <v>58.507976196462778</v>
          </cell>
        </row>
        <row r="17">
          <cell r="F17">
            <v>0</v>
          </cell>
          <cell r="I17">
            <v>0</v>
          </cell>
          <cell r="L17">
            <v>0</v>
          </cell>
          <cell r="O17">
            <v>0</v>
          </cell>
          <cell r="V17">
            <v>0</v>
          </cell>
          <cell r="Y17">
            <v>0</v>
          </cell>
          <cell r="AB17">
            <v>0</v>
          </cell>
          <cell r="AE17">
            <v>0</v>
          </cell>
          <cell r="AH17">
            <v>0</v>
          </cell>
          <cell r="AK17">
            <v>0</v>
          </cell>
        </row>
        <row r="18">
          <cell r="F18">
            <v>0</v>
          </cell>
          <cell r="I18">
            <v>0</v>
          </cell>
          <cell r="L18">
            <v>0</v>
          </cell>
          <cell r="O18">
            <v>-84.16938612743462</v>
          </cell>
          <cell r="V18">
            <v>0</v>
          </cell>
          <cell r="Y18">
            <v>0</v>
          </cell>
          <cell r="AB18">
            <v>209.16975782347257</v>
          </cell>
          <cell r="AE18">
            <v>0</v>
          </cell>
          <cell r="AH18">
            <v>0</v>
          </cell>
          <cell r="AK18">
            <v>-90.79678925059379</v>
          </cell>
        </row>
        <row r="19">
          <cell r="F19">
            <v>56.715242631816302</v>
          </cell>
          <cell r="I19">
            <v>52.922556486184867</v>
          </cell>
          <cell r="L19">
            <v>28.571379774516295</v>
          </cell>
          <cell r="O19">
            <v>9.5881614784969855</v>
          </cell>
          <cell r="V19">
            <v>2.2530802269207477</v>
          </cell>
          <cell r="Y19">
            <v>1.208836584708771</v>
          </cell>
          <cell r="AB19">
            <v>0.82898681545691844</v>
          </cell>
          <cell r="AE19">
            <v>0.37611270961685506</v>
          </cell>
          <cell r="AH19">
            <v>0.89201079513253312</v>
          </cell>
          <cell r="AK19">
            <v>0.39900112613347627</v>
          </cell>
        </row>
        <row r="20">
          <cell r="F20">
            <v>178.91963299576986</v>
          </cell>
          <cell r="I20">
            <v>192.30835459944697</v>
          </cell>
          <cell r="L20">
            <v>116.38045567667204</v>
          </cell>
          <cell r="O20">
            <v>-78.599866319662553</v>
          </cell>
          <cell r="V20">
            <v>-154.44738840218329</v>
          </cell>
          <cell r="Y20">
            <v>103.766685416553</v>
          </cell>
          <cell r="AB20">
            <v>-77.390898349383804</v>
          </cell>
          <cell r="AE20">
            <v>-8.5408249943202748</v>
          </cell>
          <cell r="AH20">
            <v>58.832131442643458</v>
          </cell>
          <cell r="AK20">
            <v>21.588476142443568</v>
          </cell>
        </row>
        <row r="21">
          <cell r="F21">
            <v>-376.01170353633205</v>
          </cell>
          <cell r="I21">
            <v>-393.21001323310361</v>
          </cell>
          <cell r="L21">
            <v>-407.52417376054024</v>
          </cell>
          <cell r="O21">
            <v>-397.88390321589054</v>
          </cell>
          <cell r="V21">
            <v>-133.44976750473458</v>
          </cell>
          <cell r="Y21">
            <v>-136.23057302244203</v>
          </cell>
          <cell r="AB21">
            <v>-140.57913643977747</v>
          </cell>
          <cell r="AE21">
            <v>-143.42513303466211</v>
          </cell>
          <cell r="AH21">
            <v>-141.61908616581741</v>
          </cell>
          <cell r="AK21">
            <v>-148.08860610598401</v>
          </cell>
        </row>
        <row r="22">
          <cell r="F22">
            <v>16829.42536130621</v>
          </cell>
          <cell r="I22">
            <v>17206.879081705694</v>
          </cell>
          <cell r="L22">
            <v>17808.763430979281</v>
          </cell>
          <cell r="O22">
            <v>18004.625677618591</v>
          </cell>
          <cell r="V22">
            <v>18020.989707580789</v>
          </cell>
          <cell r="Y22">
            <v>18501.914933969067</v>
          </cell>
          <cell r="AB22">
            <v>18949.268823858325</v>
          </cell>
          <cell r="AE22">
            <v>19136.323515674965</v>
          </cell>
          <cell r="AH22">
            <v>19342.688725171549</v>
          </cell>
          <cell r="AK22">
            <v>19633.505202548891</v>
          </cell>
        </row>
      </sheetData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>
        <row r="494">
          <cell r="J494">
            <v>16829.42536130621</v>
          </cell>
        </row>
      </sheetData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Q_BS"/>
      <sheetName val="Sheet8"/>
      <sheetName val="1Q_PL"/>
      <sheetName val="1Q_CE"/>
      <sheetName val="BS_변동분석"/>
      <sheetName val="SAP_1Q 시산_0426"/>
      <sheetName val="1Q_BS_GAAP"/>
      <sheetName val="Sheet5"/>
      <sheetName val="1Q_PL_GAAP"/>
      <sheetName val="수기전표반영"/>
      <sheetName val="공시용_BS"/>
      <sheetName val="공시용_PL"/>
      <sheetName val="수기전표_NEW"/>
      <sheetName val="분개원장_1Q_정리"/>
      <sheetName val="분개원장_1Q_0417"/>
      <sheetName val="전환일 분개 취합"/>
      <sheetName val="수정분개_차감집계"/>
      <sheetName val="수정분개_대체집계"/>
      <sheetName val="IFRS4기준 2L시산"/>
      <sheetName val="Audit Adj"/>
      <sheetName val="Sheet6"/>
      <sheetName val="Sheet1"/>
      <sheetName val="1Q BS대사"/>
      <sheetName val="1Q PL대사"/>
      <sheetName val="OCI"/>
      <sheetName val="SAP_1Q_BS"/>
      <sheetName val="Sheet2"/>
      <sheetName val="Sheet3"/>
      <sheetName val="Sheet4"/>
      <sheetName val="SAP_1Q_PL"/>
      <sheetName val="Sheet7"/>
      <sheetName val="버전차이"/>
      <sheetName val="공시용BS"/>
      <sheetName val="분개룰구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22">
          <cell r="D22">
            <v>17657866689961</v>
          </cell>
        </row>
        <row r="44">
          <cell r="D44">
            <v>1742813761408</v>
          </cell>
        </row>
      </sheetData>
      <sheetData sheetId="11">
        <row r="9">
          <cell r="D9">
            <v>-39974499009</v>
          </cell>
        </row>
        <row r="27">
          <cell r="D27">
            <v>13379799296</v>
          </cell>
        </row>
        <row r="29">
          <cell r="D29">
            <v>10505624558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Q_BS"/>
      <sheetName val="Sheet3"/>
      <sheetName val="2Q_PL"/>
      <sheetName val="2Q_CE"/>
      <sheetName val="2Q_BS_GAAP"/>
      <sheetName val="2Q_PL_GAAP"/>
      <sheetName val="공시용_BS"/>
      <sheetName val="공시용_PL"/>
      <sheetName val="증감분석&gt;&gt;"/>
      <sheetName val="BS_AR"/>
      <sheetName val="PL_AR"/>
      <sheetName val="BS_AR_GAAP"/>
      <sheetName val="PL_AR_GAAP"/>
      <sheetName val="수기전표반영"/>
      <sheetName val="분개원장_2Q_0417"/>
      <sheetName val="OCI"/>
      <sheetName val="전환일 분개 취합"/>
      <sheetName val="1Q 분개 취합"/>
      <sheetName val="분개원장_2Q_정리"/>
      <sheetName val="수정분개_차감집계"/>
      <sheetName val="수정분개_대체집계"/>
      <sheetName val="IFRS4기준 2L시산"/>
      <sheetName val="Sheet8"/>
      <sheetName val="Sheet6"/>
      <sheetName val="Sheet9"/>
      <sheetName val="Sheet4"/>
      <sheetName val="버전차이"/>
      <sheetName val="Audit Adj"/>
      <sheetName val="SAP_2Q 시산_0426"/>
      <sheetName val="BS_시점별 17vs4 비교"/>
      <sheetName val="ASIS BS"/>
      <sheetName val="PL_시점별 17vs4 비교"/>
      <sheetName val="ASIS PL"/>
      <sheetName val="Sheet2"/>
      <sheetName val="Sheet1"/>
      <sheetName val="2Q BS대사"/>
      <sheetName val="2Q PL대사"/>
      <sheetName val="SAP_2Q_BS"/>
      <sheetName val="SAP_2Q_PL"/>
      <sheetName val="Sheet7"/>
      <sheetName val="공시용BS"/>
      <sheetName val="분개룰구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22">
          <cell r="D22">
            <v>17259679946102</v>
          </cell>
        </row>
        <row r="44">
          <cell r="D44">
            <v>1996023894885</v>
          </cell>
        </row>
      </sheetData>
      <sheetData sheetId="7">
        <row r="9">
          <cell r="D9">
            <v>-90593109072</v>
          </cell>
        </row>
        <row r="27">
          <cell r="D27">
            <v>8467493220</v>
          </cell>
        </row>
        <row r="29">
          <cell r="D29">
            <v>6544885370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nancial Statement&gt;&gt;"/>
      <sheetName val="3Q_BS"/>
      <sheetName val="3Q_PL"/>
      <sheetName val="3Q_CE"/>
      <sheetName val="3Q_BS_GAAP"/>
      <sheetName val="3Q_PL_GAAP"/>
      <sheetName val="공시용_BS"/>
      <sheetName val="공시용_PL"/>
      <sheetName val="증감분석&gt;&gt;"/>
      <sheetName val="BS_AR"/>
      <sheetName val="PL_AR"/>
      <sheetName val="BS_AR_GAAP"/>
      <sheetName val="PL_AR_GAAP"/>
      <sheetName val="투입 Data&gt;&gt;"/>
      <sheetName val="SAP_3Q 시산_0426"/>
      <sheetName val="수기전표(3Q)"/>
      <sheetName val="수기전표(2Q)"/>
      <sheetName val="분개원장_3Q_0417"/>
      <sheetName val="분개원장_3Q_정리"/>
      <sheetName val="전환일 분개 취합"/>
      <sheetName val="1Q 분개 취합"/>
      <sheetName val="2Q 분개 취합"/>
      <sheetName val="수정분개_차감집계"/>
      <sheetName val="수정분개_대체집계"/>
      <sheetName val="IFRS4기준 2L시산"/>
      <sheetName val="기타&gt;&gt;"/>
      <sheetName val="OCI"/>
      <sheetName val="버전차이관리"/>
      <sheetName val="Sheet8"/>
      <sheetName val="Sheet6"/>
      <sheetName val="Sheet9"/>
      <sheetName val="Sheet4"/>
      <sheetName val="버전차이"/>
      <sheetName val="Sheet3"/>
      <sheetName val="Audit Adj"/>
      <sheetName val="BS_시점별 17vs4 비교"/>
      <sheetName val="ASIS BS"/>
      <sheetName val="PL_시점별 17vs4 비교"/>
      <sheetName val="ASIS PL"/>
      <sheetName val="Sheet2"/>
      <sheetName val="Sheet1"/>
      <sheetName val="2Q BS대사"/>
      <sheetName val="2Q PL대사"/>
      <sheetName val="SAP_2Q_BS"/>
      <sheetName val="SAP_2Q_PL"/>
      <sheetName val="Sheet7"/>
      <sheetName val="공시용BS"/>
      <sheetName val="분개룰구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22">
          <cell r="D22">
            <v>17396000145503</v>
          </cell>
        </row>
        <row r="44">
          <cell r="D44">
            <v>2134905402076</v>
          </cell>
        </row>
      </sheetData>
      <sheetData sheetId="7">
        <row r="9">
          <cell r="D9">
            <v>-147252761503</v>
          </cell>
        </row>
        <row r="27">
          <cell r="D27">
            <v>6273022337</v>
          </cell>
        </row>
        <row r="29">
          <cell r="D29">
            <v>5269123462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Q_BS_GAAP"/>
      <sheetName val="4Q_PL_GAAP"/>
      <sheetName val="4Q_BS"/>
      <sheetName val="4Q_PL"/>
      <sheetName val="4Q_CE"/>
      <sheetName val="Sheet5"/>
      <sheetName val="Sheet3"/>
      <sheetName val="SAP PL 검증"/>
      <sheetName val="SAP BS 검증"/>
      <sheetName val="Sheet10"/>
      <sheetName val="공시용_BS"/>
      <sheetName val="공시용_PL"/>
      <sheetName val="수기전표(4q)"/>
      <sheetName val="전환일 잉여금 세율조정효과"/>
      <sheetName val="overlay법인세"/>
      <sheetName val="IFRS4기준 2L시산"/>
      <sheetName val="SAP_4Q 시산_0426"/>
      <sheetName val="변동전표(취합)"/>
      <sheetName val="변동전표(원수)"/>
      <sheetName val="변동전표(출재)"/>
      <sheetName val="OCI"/>
      <sheetName val="증감분석&gt;&gt;"/>
      <sheetName val="BS_AR"/>
      <sheetName val="PL_AR"/>
      <sheetName val="BS_AR_GAAP"/>
      <sheetName val="PL_AR_GAAP"/>
      <sheetName val="수기전표(3Q)"/>
      <sheetName val="분개원장_4Q_정리"/>
      <sheetName val="분개원장_4Q_0421"/>
      <sheetName val="Sheet11"/>
      <sheetName val="전환일 분개 취합"/>
      <sheetName val="1Q 분개 취합"/>
      <sheetName val="2Q 분개 취합"/>
      <sheetName val="3Q 분개 취합"/>
      <sheetName val="수정분개_차감집계"/>
      <sheetName val="수정분개_대체집계"/>
      <sheetName val="Sheet8"/>
      <sheetName val="Sheet6"/>
      <sheetName val="Sheet9"/>
      <sheetName val="Sheet4"/>
      <sheetName val="버전차이"/>
      <sheetName val="Audit Adj"/>
      <sheetName val="BS_시점별 17vs4 비교"/>
      <sheetName val="ASIS BS"/>
      <sheetName val="PL_시점별 17vs4 비교"/>
      <sheetName val="ASIS PL"/>
      <sheetName val="Sheet2"/>
      <sheetName val="Sheet1"/>
      <sheetName val="2Q BS대사"/>
      <sheetName val="2Q PL대사"/>
      <sheetName val="SAP_2Q_BS"/>
      <sheetName val="SAP_2Q_PL"/>
      <sheetName val="Sheet7"/>
      <sheetName val="공시용BS"/>
      <sheetName val="분개룰구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22">
          <cell r="D22">
            <v>16791949248409</v>
          </cell>
        </row>
        <row r="44">
          <cell r="D44">
            <v>2024314445640</v>
          </cell>
        </row>
      </sheetData>
      <sheetData sheetId="11">
        <row r="9">
          <cell r="D9">
            <v>-259401842462</v>
          </cell>
        </row>
        <row r="27">
          <cell r="D27">
            <v>-96069650192</v>
          </cell>
        </row>
        <row r="29">
          <cell r="D29">
            <v>-67879279220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3월_BS_GAAP"/>
      <sheetName val="3월_PL_GAAP"/>
      <sheetName val="3월_BS"/>
      <sheetName val="3월_PL"/>
      <sheetName val="3월_CE"/>
      <sheetName val="공시용_BS"/>
      <sheetName val="공시용_PL"/>
      <sheetName val="수기전표(3월)"/>
      <sheetName val="SAP_3월 시산_0508"/>
      <sheetName val="법인세"/>
      <sheetName val="전기법인세 오류"/>
      <sheetName val="OCI"/>
      <sheetName val="이력"/>
      <sheetName val="IFRS4기준 1L시산"/>
      <sheetName val="Sheet15"/>
      <sheetName val="IFRS4기준 2L시산"/>
      <sheetName val="전기 누적 컨버전효과"/>
      <sheetName val="Sheet5"/>
      <sheetName val="Sheet3"/>
      <sheetName val="SAP PL 검증"/>
      <sheetName val="SAP BS 검증"/>
      <sheetName val="Sheet10"/>
      <sheetName val="수정전표반영후"/>
      <sheetName val="변동전표(취합)"/>
      <sheetName val="변동전표(원수)"/>
      <sheetName val="변동전표(출재)"/>
      <sheetName val="증감분석&gt;&gt;"/>
      <sheetName val="BS_AR"/>
      <sheetName val="PL_AR"/>
      <sheetName val="BS_AR_GAAP"/>
      <sheetName val="PL_AR_GAAP"/>
      <sheetName val="수기전표(3Q)"/>
      <sheetName val="분개원장_3월_0508"/>
      <sheetName val="Sheet12"/>
      <sheetName val="분개원장_3월_정리"/>
      <sheetName val="수정분개_차감집계"/>
      <sheetName val="수정분개_대체집계"/>
      <sheetName val="Sheet8"/>
      <sheetName val="Sheet6"/>
      <sheetName val="Sheet9"/>
      <sheetName val="Sheet4"/>
      <sheetName val="버전차이"/>
      <sheetName val="Audit Adj"/>
      <sheetName val="BS_시점별 17vs4 비교"/>
      <sheetName val="ASIS BS"/>
      <sheetName val="PL_시점별 17vs4 비교"/>
      <sheetName val="ASIS PL"/>
      <sheetName val="Sheet2"/>
      <sheetName val="Sheet1"/>
      <sheetName val="2Q BS대사"/>
      <sheetName val="2Q PL대사"/>
      <sheetName val="SAP_2Q_BS"/>
      <sheetName val="SAP_2Q_PL"/>
      <sheetName val="Sheet7"/>
      <sheetName val="공시용BS"/>
      <sheetName val="분개룰구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22">
          <cell r="D22">
            <v>14619371017680</v>
          </cell>
        </row>
        <row r="44">
          <cell r="D44">
            <v>1417967457671</v>
          </cell>
        </row>
      </sheetData>
      <sheetData sheetId="6">
        <row r="9">
          <cell r="D9">
            <v>58047353671</v>
          </cell>
        </row>
        <row r="27">
          <cell r="D27">
            <v>103402427815</v>
          </cell>
        </row>
        <row r="29">
          <cell r="D29">
            <v>79374581571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실적요약"/>
      <sheetName val="6월_BS"/>
      <sheetName val="6월_PL"/>
      <sheetName val="실적요약."/>
      <sheetName val="실적요약2"/>
      <sheetName val="실적요약3"/>
      <sheetName val="BS요약"/>
      <sheetName val="자본변동표"/>
      <sheetName val="6월_BS_GAAP"/>
      <sheetName val="6월_PL_GAAP"/>
      <sheetName val="공시용_BS"/>
      <sheetName val="공시용_PL"/>
      <sheetName val="붙여넣기&gt;"/>
      <sheetName val="전월(5월)_BS"/>
      <sheetName val="전월(5월)_PL"/>
      <sheetName val="수기전표(6월)"/>
      <sheetName val="법인세"/>
      <sheetName val="3월_pl_gaap"/>
      <sheetName val="2L시산"/>
      <sheetName val="1L시산"/>
      <sheetName val="재산관리비재전기"/>
      <sheetName val="수정분개"/>
      <sheetName val="분개원장_6월당월"/>
      <sheetName val="분개원장_6월_정리"/>
      <sheetName val="FAM전표2L이관시 조정_6월"/>
      <sheetName val="참고&gt;"/>
      <sheetName val="퇴직계정pl 매핑"/>
      <sheetName val="감독용공시용 주요차이"/>
      <sheetName val="공시용매핑"/>
      <sheetName val="내부거래제거내역"/>
      <sheetName val="기타투자비용참고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22">
          <cell r="D22">
            <v>13601365949591</v>
          </cell>
        </row>
        <row r="44">
          <cell r="D44">
            <v>1451130485008</v>
          </cell>
        </row>
      </sheetData>
      <sheetData sheetId="11">
        <row r="9">
          <cell r="D9">
            <v>49559293107</v>
          </cell>
        </row>
        <row r="27">
          <cell r="D27">
            <v>151086176638</v>
          </cell>
        </row>
        <row r="29">
          <cell r="D29">
            <v>112971746459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월별"/>
      <sheetName val="누계"/>
      <sheetName val="Q"/>
      <sheetName val="R"/>
      <sheetName val="Sheet1"/>
    </sheetNames>
    <sheetDataSet>
      <sheetData sheetId="0">
        <row r="5">
          <cell r="EB5">
            <v>1616.79660156</v>
          </cell>
          <cell r="EC5">
            <v>1603.7335852900001</v>
          </cell>
          <cell r="ED5">
            <v>1641.07298965</v>
          </cell>
          <cell r="EE5">
            <v>1629.6055232000001</v>
          </cell>
          <cell r="EF5">
            <v>1634.6215181</v>
          </cell>
          <cell r="EG5">
            <v>1639.82367494</v>
          </cell>
          <cell r="EH5">
            <v>1658.2304260599999</v>
          </cell>
          <cell r="EI5">
            <v>1661.70624907</v>
          </cell>
          <cell r="EJ5">
            <v>1674.56118563</v>
          </cell>
          <cell r="EK5">
            <v>1685.5502661099999</v>
          </cell>
          <cell r="EL5">
            <v>2072.5408463600002</v>
          </cell>
          <cell r="EM5">
            <v>1987.9129190000001</v>
          </cell>
          <cell r="EN5">
            <v>1719.6428312800001</v>
          </cell>
          <cell r="EO5">
            <v>1753.03659227</v>
          </cell>
          <cell r="EP5">
            <v>1793.5415368399999</v>
          </cell>
          <cell r="EQ5">
            <v>1796.45261585</v>
          </cell>
          <cell r="ER5">
            <v>1801.63304042</v>
          </cell>
          <cell r="ES5">
            <v>1829.6311513600001</v>
          </cell>
        </row>
        <row r="6">
          <cell r="EB6">
            <v>15.751103179999999</v>
          </cell>
          <cell r="EC6">
            <v>15.307435699999999</v>
          </cell>
          <cell r="ED6">
            <v>22.265502000000001</v>
          </cell>
          <cell r="EE6">
            <v>18.591213759999999</v>
          </cell>
          <cell r="EF6">
            <v>20.055924860000001</v>
          </cell>
          <cell r="EG6">
            <v>22.870201260000002</v>
          </cell>
          <cell r="EH6">
            <v>26.423031049999999</v>
          </cell>
          <cell r="EI6">
            <v>26.497983000000001</v>
          </cell>
          <cell r="EJ6">
            <v>28.87509906</v>
          </cell>
          <cell r="EK6">
            <v>24.907084990000001</v>
          </cell>
          <cell r="EL6">
            <v>27.825952050000001</v>
          </cell>
          <cell r="EM6">
            <v>35.822577789999997</v>
          </cell>
          <cell r="EN6">
            <v>34.056211580000003</v>
          </cell>
          <cell r="EO6">
            <v>39.009111420000004</v>
          </cell>
          <cell r="EP6">
            <v>36.462022619999999</v>
          </cell>
          <cell r="EQ6">
            <v>26.301310040000001</v>
          </cell>
          <cell r="ER6">
            <v>25.15390124</v>
          </cell>
          <cell r="ES6">
            <v>33.860545070000001</v>
          </cell>
        </row>
        <row r="13">
          <cell r="EB13">
            <v>15.15649934</v>
          </cell>
          <cell r="EC13">
            <v>15.015420730000001</v>
          </cell>
          <cell r="ED13">
            <v>21.92161943</v>
          </cell>
          <cell r="EE13">
            <v>18.170042259999999</v>
          </cell>
          <cell r="EF13">
            <v>19.51357681</v>
          </cell>
          <cell r="EG13">
            <v>22.44951726</v>
          </cell>
          <cell r="EH13">
            <v>25.97521089</v>
          </cell>
          <cell r="EI13">
            <v>26.05924379</v>
          </cell>
          <cell r="EJ13">
            <v>28.587349360000001</v>
          </cell>
          <cell r="EK13">
            <v>24.641299</v>
          </cell>
          <cell r="EL13">
            <v>27.46160824</v>
          </cell>
          <cell r="EM13">
            <v>35.604688160000002</v>
          </cell>
          <cell r="EN13">
            <v>33.528674850000002</v>
          </cell>
          <cell r="EO13">
            <v>38.468931140000002</v>
          </cell>
          <cell r="EP13">
            <v>36.10543509</v>
          </cell>
          <cell r="EQ13">
            <v>25.969382509999999</v>
          </cell>
          <cell r="ER13">
            <v>24.837783900000002</v>
          </cell>
          <cell r="ES13">
            <v>33.645930399999997</v>
          </cell>
        </row>
        <row r="20">
          <cell r="EB20">
            <v>0.21749584</v>
          </cell>
          <cell r="EC20">
            <v>0.19736097</v>
          </cell>
          <cell r="ED20">
            <v>0.18421757</v>
          </cell>
          <cell r="EE20">
            <v>0.17897150000000001</v>
          </cell>
          <cell r="EF20">
            <v>0.17464805</v>
          </cell>
          <cell r="EG20">
            <v>0.17514099999999999</v>
          </cell>
          <cell r="EH20">
            <v>0.20996716000000001</v>
          </cell>
          <cell r="EI20">
            <v>0.15625521000000001</v>
          </cell>
          <cell r="EJ20">
            <v>0.17748369999999999</v>
          </cell>
          <cell r="EK20">
            <v>6.8585989999999999E-2</v>
          </cell>
          <cell r="EL20">
            <v>0.17356980999999999</v>
          </cell>
          <cell r="EM20">
            <v>0.14130163000000001</v>
          </cell>
          <cell r="EN20">
            <v>0.17405172999999999</v>
          </cell>
          <cell r="EO20">
            <v>0.14008028</v>
          </cell>
          <cell r="EP20">
            <v>0.21308052999999999</v>
          </cell>
          <cell r="EQ20">
            <v>0.19352753</v>
          </cell>
          <cell r="ER20">
            <v>0.21347134000000001</v>
          </cell>
          <cell r="ES20">
            <v>0.12879067</v>
          </cell>
        </row>
        <row r="27">
          <cell r="EB27">
            <v>0.377108</v>
          </cell>
          <cell r="EC27">
            <v>9.4654000000000002E-2</v>
          </cell>
          <cell r="ED27">
            <v>0.159665</v>
          </cell>
          <cell r="EE27">
            <v>0.2422</v>
          </cell>
          <cell r="EF27">
            <v>0.36770000000000003</v>
          </cell>
          <cell r="EG27">
            <v>0.24554300000000001</v>
          </cell>
          <cell r="EH27">
            <v>0.23785300000000001</v>
          </cell>
          <cell r="EI27">
            <v>0.28248400000000001</v>
          </cell>
          <cell r="EJ27">
            <v>0.110266</v>
          </cell>
          <cell r="EK27">
            <v>0.19719999999999999</v>
          </cell>
          <cell r="EL27">
            <v>0.190774</v>
          </cell>
          <cell r="EM27">
            <v>7.6588000000000003E-2</v>
          </cell>
          <cell r="EN27">
            <v>0.35348499999999999</v>
          </cell>
          <cell r="EO27">
            <v>0.40010000000000001</v>
          </cell>
          <cell r="EP27">
            <v>0.143507</v>
          </cell>
          <cell r="EQ27">
            <v>0.1384</v>
          </cell>
          <cell r="ER27">
            <v>0.102646</v>
          </cell>
          <cell r="ES27">
            <v>8.5823999999999998E-2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I059"/>
    </sheetNames>
    <sheetDataSet>
      <sheetData sheetId="0">
        <row r="14">
          <cell r="G14">
            <v>460243</v>
          </cell>
        </row>
        <row r="153">
          <cell r="G153">
            <v>559565602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I059"/>
    </sheetNames>
    <sheetDataSet>
      <sheetData sheetId="0">
        <row r="1">
          <cell r="W1">
            <v>29820373</v>
          </cell>
        </row>
        <row r="153">
          <cell r="G153">
            <v>1126946674</v>
          </cell>
        </row>
      </sheetData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I059"/>
    </sheetNames>
    <sheetDataSet>
      <sheetData sheetId="0">
        <row r="14">
          <cell r="G14">
            <v>1272926</v>
          </cell>
        </row>
        <row r="153">
          <cell r="G153">
            <v>1690852610</v>
          </cell>
        </row>
      </sheetData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I059"/>
    </sheetNames>
    <sheetDataSet>
      <sheetData sheetId="0">
        <row r="14">
          <cell r="E14">
            <v>5550</v>
          </cell>
        </row>
        <row r="153">
          <cell r="G153">
            <v>2329205420.7749996</v>
          </cell>
        </row>
      </sheetData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I059"/>
    </sheetNames>
    <sheetDataSet>
      <sheetData sheetId="0">
        <row r="14">
          <cell r="G14">
            <v>326680.10700000002</v>
          </cell>
        </row>
        <row r="153">
          <cell r="G153">
            <v>595364324</v>
          </cell>
        </row>
      </sheetData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I059"/>
    </sheetNames>
    <sheetDataSet>
      <sheetData sheetId="0">
        <row r="28">
          <cell r="G28">
            <v>67419257</v>
          </cell>
        </row>
        <row r="153">
          <cell r="G153">
            <v>1210672305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3"/>
  <sheetViews>
    <sheetView view="pageBreakPreview" zoomScale="80" zoomScaleNormal="100" zoomScaleSheetLayoutView="80" workbookViewId="0">
      <selection activeCell="R22" sqref="R22"/>
    </sheetView>
  </sheetViews>
  <sheetFormatPr defaultRowHeight="16.5"/>
  <cols>
    <col min="1" max="10" width="7.25" customWidth="1"/>
  </cols>
  <sheetData>
    <row r="1" spans="1:12">
      <c r="A1" s="63"/>
      <c r="B1" s="63"/>
      <c r="C1" s="63"/>
      <c r="D1" s="63"/>
      <c r="E1" s="63"/>
      <c r="F1" s="63"/>
      <c r="G1" s="63"/>
      <c r="H1" s="63"/>
      <c r="I1" s="63"/>
      <c r="J1" s="63"/>
      <c r="K1" s="39"/>
      <c r="L1" s="39"/>
    </row>
    <row r="2" spans="1:12">
      <c r="A2" s="63"/>
      <c r="B2" s="63"/>
      <c r="C2" s="63"/>
      <c r="D2" s="63"/>
      <c r="E2" s="63"/>
      <c r="F2" s="63"/>
      <c r="G2" s="63"/>
      <c r="H2" s="63"/>
      <c r="I2" s="63"/>
      <c r="J2" s="63"/>
      <c r="K2" s="39"/>
      <c r="L2" s="39"/>
    </row>
    <row r="3" spans="1:12">
      <c r="A3" s="63"/>
      <c r="B3" s="63"/>
      <c r="C3" s="63"/>
      <c r="D3" s="63"/>
      <c r="E3" s="63"/>
      <c r="F3" s="63"/>
      <c r="G3" s="63"/>
      <c r="H3" s="63"/>
      <c r="I3" s="63"/>
      <c r="J3" s="63"/>
      <c r="K3" s="39"/>
      <c r="L3" s="39"/>
    </row>
    <row r="4" spans="1:12">
      <c r="A4" s="63"/>
      <c r="B4" s="63"/>
      <c r="C4" s="63"/>
      <c r="D4" s="63"/>
      <c r="E4" s="63"/>
      <c r="F4" s="63"/>
      <c r="G4" s="63"/>
      <c r="H4" s="63"/>
      <c r="I4" s="63"/>
      <c r="J4" s="63"/>
      <c r="K4" s="39"/>
      <c r="L4" s="39"/>
    </row>
    <row r="5" spans="1:12">
      <c r="A5" s="63"/>
      <c r="B5" s="63"/>
      <c r="C5" s="63"/>
      <c r="D5" s="63"/>
      <c r="E5" s="63"/>
      <c r="F5" s="63"/>
      <c r="G5" s="63"/>
      <c r="H5" s="63"/>
      <c r="I5" s="63"/>
      <c r="J5" s="63"/>
      <c r="K5" s="39"/>
      <c r="L5" s="39"/>
    </row>
    <row r="6" spans="1:12">
      <c r="A6" s="63"/>
      <c r="B6" s="63"/>
      <c r="C6" s="63"/>
      <c r="D6" s="63"/>
      <c r="E6" s="63"/>
      <c r="F6" s="63"/>
      <c r="G6" s="63"/>
      <c r="H6" s="63"/>
      <c r="I6" s="63"/>
      <c r="J6" s="63"/>
      <c r="K6" s="39"/>
      <c r="L6" s="39"/>
    </row>
    <row r="7" spans="1:12">
      <c r="A7" s="63"/>
      <c r="B7" s="63"/>
      <c r="C7" s="63"/>
      <c r="D7" s="63"/>
      <c r="E7" s="63"/>
      <c r="F7" s="63"/>
      <c r="G7" s="63"/>
      <c r="H7" s="63"/>
      <c r="I7" s="63"/>
      <c r="J7" s="63"/>
      <c r="K7" s="39"/>
      <c r="L7" s="39"/>
    </row>
    <row r="8" spans="1:12">
      <c r="A8" s="63"/>
      <c r="B8" s="63"/>
      <c r="C8" s="63"/>
      <c r="D8" s="63"/>
      <c r="E8" s="63"/>
      <c r="F8" s="63"/>
      <c r="G8" s="63"/>
      <c r="H8" s="63"/>
      <c r="I8" s="63"/>
      <c r="J8" s="63"/>
      <c r="K8" s="39"/>
      <c r="L8" s="39"/>
    </row>
    <row r="9" spans="1:12">
      <c r="A9" s="64"/>
      <c r="B9" s="64"/>
      <c r="C9" s="64"/>
      <c r="D9" s="64"/>
      <c r="E9" s="64"/>
      <c r="F9" s="64"/>
      <c r="G9" s="64"/>
      <c r="H9" s="64"/>
      <c r="I9" s="64"/>
      <c r="J9" s="64"/>
      <c r="K9" s="64"/>
      <c r="L9" s="64"/>
    </row>
    <row r="10" spans="1:12" ht="30.75">
      <c r="A10" s="64"/>
      <c r="B10" s="65" t="s">
        <v>60</v>
      </c>
      <c r="C10" s="64"/>
      <c r="D10" s="64"/>
      <c r="E10" s="64"/>
      <c r="F10" s="64"/>
      <c r="G10" s="64"/>
      <c r="H10" s="64"/>
      <c r="I10" s="64"/>
      <c r="J10" s="64"/>
      <c r="K10" s="64"/>
      <c r="L10" s="64"/>
    </row>
    <row r="11" spans="1:12" ht="60">
      <c r="A11" s="64"/>
      <c r="B11" s="66" t="s">
        <v>43</v>
      </c>
      <c r="C11" s="64"/>
      <c r="D11" s="64"/>
      <c r="E11" s="64"/>
      <c r="F11" s="64"/>
      <c r="G11" s="64"/>
      <c r="H11" s="64"/>
      <c r="I11" s="64"/>
      <c r="J11" s="64"/>
      <c r="K11" s="64"/>
      <c r="L11" s="64"/>
    </row>
    <row r="12" spans="1:12">
      <c r="A12" s="64"/>
      <c r="B12" s="64"/>
      <c r="C12" s="64"/>
      <c r="D12" s="64"/>
      <c r="E12" s="64"/>
      <c r="F12" s="64"/>
      <c r="G12" s="64"/>
      <c r="H12" s="64"/>
      <c r="I12" s="64"/>
      <c r="J12" s="64"/>
      <c r="K12" s="64"/>
      <c r="L12" s="64"/>
    </row>
    <row r="13" spans="1:12">
      <c r="A13" s="64"/>
      <c r="B13" s="64"/>
      <c r="C13" s="64"/>
      <c r="D13" s="64"/>
      <c r="E13" s="64"/>
      <c r="F13" s="64"/>
      <c r="G13" s="64"/>
      <c r="H13" s="64"/>
      <c r="I13" s="64"/>
      <c r="J13" s="64"/>
      <c r="K13" s="64"/>
      <c r="L13" s="64"/>
    </row>
    <row r="14" spans="1:12">
      <c r="A14" s="64"/>
      <c r="B14" s="64"/>
      <c r="C14" s="64"/>
      <c r="D14" s="64"/>
      <c r="E14" s="64"/>
      <c r="F14" s="64"/>
      <c r="G14" s="64"/>
      <c r="H14" s="64"/>
      <c r="I14" s="64"/>
      <c r="J14" s="64"/>
      <c r="K14" s="64"/>
      <c r="L14" s="64"/>
    </row>
    <row r="15" spans="1:12">
      <c r="A15" s="64"/>
      <c r="B15" s="64"/>
      <c r="C15" s="64"/>
      <c r="D15" s="64"/>
      <c r="E15" s="64"/>
      <c r="F15" s="64"/>
      <c r="G15" s="64"/>
      <c r="H15" s="64"/>
      <c r="I15" s="64"/>
      <c r="J15" s="64"/>
      <c r="K15" s="64"/>
      <c r="L15" s="64"/>
    </row>
    <row r="16" spans="1:12" ht="26.25">
      <c r="A16" s="64"/>
      <c r="B16" s="67" t="s">
        <v>44</v>
      </c>
      <c r="C16" s="64"/>
      <c r="D16" s="64"/>
      <c r="E16" s="64"/>
      <c r="F16" s="64"/>
      <c r="G16" s="64"/>
      <c r="H16" s="64"/>
      <c r="I16" s="64"/>
      <c r="J16" s="64"/>
      <c r="K16" s="64"/>
      <c r="L16" s="64"/>
    </row>
    <row r="17" spans="1:12" ht="21">
      <c r="A17" s="64"/>
      <c r="B17" s="68"/>
      <c r="C17" s="64"/>
      <c r="D17" s="64"/>
      <c r="E17" s="64"/>
      <c r="F17" s="64"/>
      <c r="G17" s="64"/>
      <c r="H17" s="64"/>
      <c r="I17" s="64"/>
      <c r="J17" s="64"/>
      <c r="K17" s="64"/>
      <c r="L17" s="64"/>
    </row>
    <row r="18" spans="1:12" ht="26.25">
      <c r="A18" s="64"/>
      <c r="B18" s="69" t="s">
        <v>45</v>
      </c>
      <c r="C18" s="64"/>
      <c r="D18" s="64"/>
      <c r="E18" s="64"/>
      <c r="F18" s="64"/>
      <c r="G18" s="64"/>
      <c r="H18" s="64"/>
      <c r="I18" s="64"/>
      <c r="J18" s="64"/>
      <c r="K18" s="64"/>
      <c r="L18" s="64"/>
    </row>
    <row r="19" spans="1:12" ht="26.25">
      <c r="A19" s="64"/>
      <c r="B19" s="69"/>
      <c r="C19" s="64"/>
      <c r="D19" s="64"/>
      <c r="E19" s="64"/>
      <c r="F19" s="64"/>
      <c r="G19" s="64"/>
      <c r="H19" s="64"/>
      <c r="I19" s="64"/>
      <c r="J19" s="64"/>
      <c r="K19" s="64"/>
      <c r="L19" s="64"/>
    </row>
    <row r="20" spans="1:12" ht="26.25">
      <c r="A20" s="64"/>
      <c r="B20" s="69" t="s">
        <v>59</v>
      </c>
      <c r="C20" s="64"/>
      <c r="D20" s="64"/>
      <c r="E20" s="64"/>
      <c r="F20" s="64"/>
      <c r="G20" s="64"/>
      <c r="H20" s="64"/>
      <c r="I20" s="64"/>
      <c r="J20" s="64"/>
      <c r="K20" s="64"/>
      <c r="L20" s="64"/>
    </row>
    <row r="21" spans="1:12" ht="26.25">
      <c r="A21" s="64"/>
      <c r="B21" s="69"/>
      <c r="C21" s="64"/>
      <c r="D21" s="64"/>
      <c r="E21" s="64"/>
      <c r="F21" s="64"/>
      <c r="G21" s="64"/>
      <c r="H21" s="64"/>
      <c r="I21" s="64"/>
      <c r="J21" s="64"/>
      <c r="K21" s="64"/>
      <c r="L21" s="64"/>
    </row>
    <row r="22" spans="1:12" ht="26.25">
      <c r="A22" s="64"/>
      <c r="B22" s="69" t="s">
        <v>46</v>
      </c>
      <c r="C22" s="64"/>
      <c r="D22" s="64"/>
      <c r="E22" s="64"/>
      <c r="F22" s="64"/>
      <c r="G22" s="64"/>
      <c r="H22" s="64"/>
      <c r="I22" s="64"/>
      <c r="J22" s="64"/>
      <c r="K22" s="64"/>
      <c r="L22" s="64"/>
    </row>
    <row r="23" spans="1:12" ht="26.25">
      <c r="A23" s="64"/>
      <c r="B23" s="69"/>
      <c r="C23" s="64"/>
      <c r="D23" s="64"/>
      <c r="E23" s="64"/>
      <c r="F23" s="64"/>
      <c r="G23" s="64"/>
      <c r="H23" s="64"/>
      <c r="I23" s="64"/>
      <c r="J23" s="64"/>
      <c r="K23" s="64"/>
      <c r="L23" s="64"/>
    </row>
    <row r="24" spans="1:12" ht="26.25">
      <c r="A24" s="64"/>
      <c r="B24" s="69" t="s">
        <v>216</v>
      </c>
      <c r="C24" s="64"/>
      <c r="D24" s="64"/>
      <c r="E24" s="64"/>
      <c r="F24" s="64"/>
      <c r="G24" s="64"/>
      <c r="H24" s="64"/>
      <c r="I24" s="64"/>
      <c r="J24" s="64"/>
      <c r="K24" s="64"/>
      <c r="L24" s="64"/>
    </row>
    <row r="25" spans="1:12" ht="26.25">
      <c r="A25" s="64"/>
      <c r="B25" s="69"/>
      <c r="C25" s="64"/>
      <c r="D25" s="64"/>
      <c r="E25" s="64"/>
      <c r="F25" s="64"/>
      <c r="G25" s="64"/>
      <c r="H25" s="64"/>
      <c r="I25" s="64"/>
      <c r="J25" s="64"/>
      <c r="K25" s="64"/>
      <c r="L25" s="64"/>
    </row>
    <row r="26" spans="1:12" ht="26.25">
      <c r="A26" s="64"/>
      <c r="B26" s="69" t="s">
        <v>217</v>
      </c>
      <c r="C26" s="64"/>
      <c r="D26" s="64"/>
      <c r="E26" s="64"/>
      <c r="F26" s="64"/>
      <c r="G26" s="64"/>
      <c r="H26" s="64"/>
      <c r="I26" s="64"/>
      <c r="J26" s="64"/>
      <c r="K26" s="64"/>
      <c r="L26" s="64"/>
    </row>
    <row r="27" spans="1:12" ht="26.25">
      <c r="A27" s="64"/>
      <c r="B27" s="69"/>
      <c r="C27" s="64"/>
      <c r="D27" s="64"/>
      <c r="E27" s="64"/>
      <c r="F27" s="64"/>
      <c r="G27" s="64"/>
      <c r="H27" s="64"/>
      <c r="I27" s="64"/>
      <c r="J27" s="64"/>
      <c r="K27" s="64"/>
      <c r="L27" s="64"/>
    </row>
    <row r="28" spans="1:12" ht="26.25">
      <c r="A28" s="64"/>
      <c r="B28" s="69"/>
      <c r="C28" s="64"/>
      <c r="D28" s="64"/>
      <c r="E28" s="64"/>
      <c r="F28" s="64"/>
      <c r="G28" s="64"/>
      <c r="H28" s="64"/>
      <c r="I28" s="64"/>
      <c r="J28" s="64"/>
      <c r="K28" s="64"/>
      <c r="L28" s="64"/>
    </row>
    <row r="29" spans="1:12" ht="18.75" customHeight="1">
      <c r="A29" s="64"/>
      <c r="B29" s="69"/>
      <c r="C29" s="64"/>
      <c r="D29" s="64"/>
      <c r="E29" s="64"/>
      <c r="F29" s="64"/>
      <c r="G29" s="64"/>
      <c r="H29" s="64"/>
      <c r="I29" s="64"/>
      <c r="J29" s="64"/>
      <c r="K29" s="64"/>
      <c r="L29" s="64"/>
    </row>
    <row r="30" spans="1:12">
      <c r="A30" s="64"/>
      <c r="B30" s="64"/>
      <c r="C30" s="64"/>
      <c r="D30" s="64"/>
      <c r="E30" s="64"/>
      <c r="F30" s="64"/>
      <c r="G30" s="64"/>
      <c r="H30" s="64"/>
      <c r="I30" s="64"/>
      <c r="J30" s="64"/>
      <c r="K30" s="64"/>
      <c r="L30" s="64"/>
    </row>
    <row r="31" spans="1:12">
      <c r="A31" s="64"/>
      <c r="B31" s="64"/>
      <c r="C31" s="64"/>
      <c r="D31" s="64"/>
      <c r="E31" s="64"/>
      <c r="F31" s="64"/>
      <c r="G31" s="64"/>
      <c r="H31" s="64"/>
      <c r="I31" s="64"/>
      <c r="J31" s="64"/>
      <c r="K31" s="64"/>
      <c r="L31" s="64"/>
    </row>
    <row r="32" spans="1:12">
      <c r="A32" s="64"/>
      <c r="B32" s="64"/>
      <c r="C32" s="64"/>
      <c r="D32" s="64"/>
      <c r="E32" s="64"/>
      <c r="F32" s="64"/>
      <c r="G32" s="64"/>
      <c r="H32" s="64"/>
      <c r="I32" s="64"/>
      <c r="J32" s="64"/>
      <c r="K32" s="64"/>
      <c r="L32" s="64"/>
    </row>
    <row r="33" spans="1:12">
      <c r="A33" s="64"/>
      <c r="B33" s="64"/>
      <c r="C33" s="64"/>
      <c r="D33" s="64"/>
      <c r="E33" s="64"/>
      <c r="F33" s="64"/>
      <c r="G33" s="64"/>
      <c r="H33" s="64"/>
      <c r="I33" s="64"/>
      <c r="J33" s="64"/>
      <c r="K33" s="64"/>
      <c r="L33" s="64"/>
    </row>
  </sheetData>
  <phoneticPr fontId="2" type="noConversion"/>
  <pageMargins left="0.7" right="0.7" top="0.75" bottom="0.75" header="0.3" footer="0.3"/>
  <pageSetup paperSize="9" scale="8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O40"/>
  <sheetViews>
    <sheetView view="pageBreakPreview" zoomScale="85" zoomScaleNormal="100" zoomScaleSheetLayoutView="85" workbookViewId="0">
      <selection activeCell="O29" sqref="O29"/>
    </sheetView>
  </sheetViews>
  <sheetFormatPr defaultRowHeight="16.5"/>
  <cols>
    <col min="1" max="1" width="0.875" customWidth="1"/>
    <col min="2" max="2" width="3" customWidth="1"/>
    <col min="3" max="3" width="23.375" customWidth="1"/>
    <col min="4" max="5" width="10.5" customWidth="1"/>
    <col min="6" max="7" width="8.5" customWidth="1"/>
    <col min="8" max="8" width="10.5" customWidth="1"/>
    <col min="9" max="9" width="8.5" customWidth="1"/>
    <col min="10" max="11" width="10.5" customWidth="1"/>
    <col min="13" max="13" width="16" customWidth="1"/>
    <col min="15" max="15" width="13.75" bestFit="1" customWidth="1"/>
  </cols>
  <sheetData>
    <row r="1" spans="1:11" ht="20.100000000000001" customHeight="1">
      <c r="A1" s="1"/>
      <c r="B1" s="31" t="s">
        <v>21</v>
      </c>
      <c r="C1" s="2"/>
      <c r="D1" s="2"/>
      <c r="E1" s="3"/>
      <c r="F1" s="3"/>
      <c r="G1" s="4"/>
      <c r="H1" s="4"/>
      <c r="I1" s="5"/>
      <c r="J1" s="3"/>
      <c r="K1" s="5"/>
    </row>
    <row r="2" spans="1:11" ht="3" customHeight="1">
      <c r="A2" s="29"/>
      <c r="B2" s="29"/>
      <c r="C2" s="29"/>
      <c r="D2" s="29"/>
      <c r="E2" s="29"/>
      <c r="F2" s="29"/>
      <c r="G2" s="30"/>
      <c r="H2" s="30"/>
      <c r="I2" s="30"/>
      <c r="J2" s="29"/>
      <c r="K2" s="30"/>
    </row>
    <row r="3" spans="1:11">
      <c r="A3" s="1"/>
      <c r="B3" s="1"/>
      <c r="C3" s="1"/>
      <c r="D3" s="1"/>
      <c r="E3" s="1"/>
      <c r="F3" s="1"/>
      <c r="G3" s="7"/>
      <c r="H3" s="7"/>
      <c r="I3" s="7"/>
      <c r="J3" s="1"/>
      <c r="K3" s="7"/>
    </row>
    <row r="4" spans="1:11" ht="19.5">
      <c r="A4" s="1"/>
      <c r="B4" s="40" t="s">
        <v>22</v>
      </c>
      <c r="C4" s="1"/>
      <c r="D4" s="1"/>
      <c r="E4" s="1"/>
      <c r="F4" s="1"/>
      <c r="G4" s="7"/>
      <c r="H4" s="7"/>
      <c r="I4" s="7"/>
      <c r="J4" s="1"/>
      <c r="K4" s="7"/>
    </row>
    <row r="5" spans="1:11" ht="17.25" thickBot="1">
      <c r="A5" s="1"/>
      <c r="B5" s="3"/>
      <c r="C5" s="3"/>
      <c r="D5" s="3"/>
      <c r="E5" s="1"/>
      <c r="F5" s="1"/>
      <c r="G5" s="7"/>
      <c r="H5" s="7"/>
      <c r="I5" s="7"/>
      <c r="J5" s="1"/>
      <c r="K5" s="9" t="s">
        <v>23</v>
      </c>
    </row>
    <row r="6" spans="1:11">
      <c r="A6" s="3"/>
      <c r="B6" s="437" t="s">
        <v>24</v>
      </c>
      <c r="C6" s="438"/>
      <c r="D6" s="426" t="s">
        <v>53</v>
      </c>
      <c r="E6" s="456">
        <v>2023</v>
      </c>
      <c r="F6" s="457"/>
      <c r="G6" s="457"/>
      <c r="H6" s="457"/>
      <c r="I6" s="458"/>
      <c r="J6" s="456">
        <v>2022</v>
      </c>
      <c r="K6" s="457"/>
    </row>
    <row r="7" spans="1:11" ht="16.5" customHeight="1">
      <c r="A7" s="3"/>
      <c r="B7" s="439"/>
      <c r="C7" s="440"/>
      <c r="D7" s="427"/>
      <c r="E7" s="459" t="s">
        <v>47</v>
      </c>
      <c r="F7" s="361"/>
      <c r="G7" s="73"/>
      <c r="H7" s="461" t="s">
        <v>48</v>
      </c>
      <c r="I7" s="74"/>
      <c r="J7" s="463" t="s">
        <v>49</v>
      </c>
      <c r="K7" s="465" t="s">
        <v>50</v>
      </c>
    </row>
    <row r="8" spans="1:11" ht="17.25" thickBot="1">
      <c r="A8" s="10"/>
      <c r="B8" s="441"/>
      <c r="C8" s="442"/>
      <c r="D8" s="428"/>
      <c r="E8" s="460"/>
      <c r="F8" s="113" t="s">
        <v>55</v>
      </c>
      <c r="G8" s="98" t="s">
        <v>19</v>
      </c>
      <c r="H8" s="462"/>
      <c r="I8" s="75" t="s">
        <v>19</v>
      </c>
      <c r="J8" s="464"/>
      <c r="K8" s="466"/>
    </row>
    <row r="9" spans="1:11" ht="17.25" thickTop="1">
      <c r="A9" s="11"/>
      <c r="B9" s="80" t="s">
        <v>26</v>
      </c>
      <c r="C9" s="95"/>
      <c r="D9" s="375">
        <v>526622.09603899997</v>
      </c>
      <c r="E9" s="376">
        <v>542771.68076300004</v>
      </c>
      <c r="F9" s="377">
        <v>3.0666363689388541E-2</v>
      </c>
      <c r="G9" s="378">
        <v>0.10678235640097587</v>
      </c>
      <c r="H9" s="379">
        <v>1069393.7768020001</v>
      </c>
      <c r="I9" s="380">
        <v>9.5055987594451635E-2</v>
      </c>
      <c r="J9" s="381">
        <v>490405.07162399997</v>
      </c>
      <c r="K9" s="379">
        <v>976565.38927399996</v>
      </c>
    </row>
    <row r="10" spans="1:11">
      <c r="A10" s="11"/>
      <c r="B10" s="84" t="s">
        <v>25</v>
      </c>
      <c r="C10" s="96"/>
      <c r="D10" s="293">
        <v>33305.627927000001</v>
      </c>
      <c r="E10" s="382">
        <v>40553.337737999995</v>
      </c>
      <c r="F10" s="313">
        <v>0.21761216533390937</v>
      </c>
      <c r="G10" s="42">
        <v>-3.8381728559022242E-2</v>
      </c>
      <c r="H10" s="383">
        <v>73858.965664999996</v>
      </c>
      <c r="I10" s="384">
        <v>-2.9090591411823432E-2</v>
      </c>
      <c r="J10" s="385">
        <v>42171.970877</v>
      </c>
      <c r="K10" s="383">
        <v>76071.943490999998</v>
      </c>
    </row>
    <row r="11" spans="1:11">
      <c r="A11" s="11"/>
      <c r="B11" s="97" t="s">
        <v>12</v>
      </c>
      <c r="C11" s="92"/>
      <c r="D11" s="386">
        <v>35436.597643000001</v>
      </c>
      <c r="E11" s="387">
        <v>31982.659377999997</v>
      </c>
      <c r="F11" s="316">
        <v>-9.7468111916277064E-2</v>
      </c>
      <c r="G11" s="54">
        <v>-8.1064445349275621E-2</v>
      </c>
      <c r="H11" s="388">
        <v>67419.257020999998</v>
      </c>
      <c r="I11" s="55">
        <v>-9.2721148172701801E-2</v>
      </c>
      <c r="J11" s="389">
        <v>34804.028656999995</v>
      </c>
      <c r="K11" s="388">
        <v>74309.300701999993</v>
      </c>
    </row>
    <row r="12" spans="1:11" ht="17.25" thickBot="1">
      <c r="A12" s="11"/>
      <c r="B12" s="86" t="s">
        <v>13</v>
      </c>
      <c r="C12" s="87"/>
      <c r="D12" s="294">
        <v>595364.32160899998</v>
      </c>
      <c r="E12" s="290">
        <v>615307.67787899997</v>
      </c>
      <c r="F12" s="319">
        <v>3.3497734993763371E-2</v>
      </c>
      <c r="G12" s="48">
        <v>8.4469872467165349E-2</v>
      </c>
      <c r="H12" s="291">
        <v>1210671.9994879998</v>
      </c>
      <c r="I12" s="49">
        <v>7.4293993641404807E-2</v>
      </c>
      <c r="J12" s="292">
        <v>567381.07115800004</v>
      </c>
      <c r="K12" s="291">
        <v>1126946.633467</v>
      </c>
    </row>
    <row r="13" spans="1:11">
      <c r="A13" s="11"/>
      <c r="B13" s="23" t="s">
        <v>14</v>
      </c>
      <c r="C13" s="11"/>
      <c r="D13" s="11"/>
      <c r="E13" s="11"/>
      <c r="F13" s="11"/>
      <c r="G13" s="11"/>
      <c r="H13" s="11"/>
      <c r="I13" s="11"/>
      <c r="J13" s="11"/>
      <c r="K13" s="11"/>
    </row>
    <row r="14" spans="1:11">
      <c r="A14" s="34"/>
      <c r="B14" s="35"/>
      <c r="C14" s="36"/>
      <c r="D14" s="36"/>
      <c r="E14" s="16"/>
      <c r="F14" s="16"/>
      <c r="G14" s="25"/>
      <c r="H14" s="21"/>
      <c r="I14" s="25"/>
      <c r="J14" s="16"/>
      <c r="K14" s="21"/>
    </row>
    <row r="15" spans="1:11" ht="19.5">
      <c r="A15" s="1"/>
      <c r="B15" s="40" t="s">
        <v>27</v>
      </c>
      <c r="C15" s="1"/>
      <c r="D15" s="1"/>
      <c r="E15" s="1"/>
      <c r="F15" s="1"/>
      <c r="G15" s="7"/>
      <c r="H15" s="7"/>
      <c r="I15" s="7"/>
      <c r="J15" s="1"/>
      <c r="K15" s="7"/>
    </row>
    <row r="16" spans="1:11" ht="17.25" thickBot="1">
      <c r="A16" s="1"/>
      <c r="B16" s="3"/>
      <c r="C16" s="3"/>
      <c r="D16" s="3"/>
      <c r="E16" s="1"/>
      <c r="F16" s="1"/>
      <c r="G16" s="7"/>
      <c r="H16" s="7"/>
      <c r="I16" s="7"/>
      <c r="J16" s="1"/>
      <c r="K16" s="9" t="s">
        <v>11</v>
      </c>
    </row>
    <row r="17" spans="1:15">
      <c r="A17" s="3"/>
      <c r="B17" s="437" t="s">
        <v>2</v>
      </c>
      <c r="C17" s="438"/>
      <c r="D17" s="426" t="s">
        <v>53</v>
      </c>
      <c r="E17" s="456">
        <v>2023</v>
      </c>
      <c r="F17" s="457"/>
      <c r="G17" s="457"/>
      <c r="H17" s="457"/>
      <c r="I17" s="458"/>
      <c r="J17" s="456">
        <v>2022</v>
      </c>
      <c r="K17" s="457"/>
    </row>
    <row r="18" spans="1:15" ht="16.5" customHeight="1">
      <c r="A18" s="3"/>
      <c r="B18" s="439"/>
      <c r="C18" s="440"/>
      <c r="D18" s="427"/>
      <c r="E18" s="459" t="s">
        <v>47</v>
      </c>
      <c r="F18" s="361"/>
      <c r="G18" s="73"/>
      <c r="H18" s="461" t="s">
        <v>48</v>
      </c>
      <c r="I18" s="74"/>
      <c r="J18" s="463" t="s">
        <v>49</v>
      </c>
      <c r="K18" s="465" t="s">
        <v>50</v>
      </c>
    </row>
    <row r="19" spans="1:15" ht="17.25" thickBot="1">
      <c r="A19" s="10"/>
      <c r="B19" s="441"/>
      <c r="C19" s="442"/>
      <c r="D19" s="428"/>
      <c r="E19" s="460"/>
      <c r="F19" s="113" t="s">
        <v>56</v>
      </c>
      <c r="G19" s="98" t="s">
        <v>19</v>
      </c>
      <c r="H19" s="462"/>
      <c r="I19" s="75" t="s">
        <v>19</v>
      </c>
      <c r="J19" s="464"/>
      <c r="K19" s="466"/>
    </row>
    <row r="20" spans="1:15" ht="17.25" thickTop="1">
      <c r="A20" s="11"/>
      <c r="B20" s="99" t="s">
        <v>28</v>
      </c>
      <c r="C20" s="90"/>
      <c r="D20" s="302">
        <v>46982.710339918427</v>
      </c>
      <c r="E20" s="296">
        <v>55914.912762426291</v>
      </c>
      <c r="F20" s="312">
        <v>0.19011679738958567</v>
      </c>
      <c r="G20" s="50">
        <v>0.21416177348868992</v>
      </c>
      <c r="H20" s="298">
        <v>102897.62310234472</v>
      </c>
      <c r="I20" s="51">
        <v>2.4428206370986267E-2</v>
      </c>
      <c r="J20" s="300">
        <v>46052.275720857346</v>
      </c>
      <c r="K20" s="298">
        <v>100443.95738268201</v>
      </c>
    </row>
    <row r="21" spans="1:15">
      <c r="A21" s="11"/>
      <c r="B21" s="78" t="s">
        <v>30</v>
      </c>
      <c r="C21" s="85"/>
      <c r="D21" s="390">
        <v>41589.77093691843</v>
      </c>
      <c r="E21" s="382">
        <v>54438.628827426292</v>
      </c>
      <c r="F21" s="313">
        <v>0.30894274243530828</v>
      </c>
      <c r="G21" s="42">
        <v>0.18475382437611632</v>
      </c>
      <c r="H21" s="383">
        <v>96028.399764344722</v>
      </c>
      <c r="I21" s="43">
        <v>2.9998327162221532E-3</v>
      </c>
      <c r="J21" s="385">
        <v>45949.316817857347</v>
      </c>
      <c r="K21" s="383">
        <v>95741.192203682003</v>
      </c>
    </row>
    <row r="22" spans="1:15">
      <c r="A22" s="11"/>
      <c r="B22" s="78"/>
      <c r="C22" s="100" t="s">
        <v>41</v>
      </c>
      <c r="D22" s="391">
        <v>41025.947702000005</v>
      </c>
      <c r="E22" s="392">
        <v>43313.282531000004</v>
      </c>
      <c r="F22" s="314">
        <v>5.5753369687264832E-2</v>
      </c>
      <c r="G22" s="44">
        <v>0.10153050717361248</v>
      </c>
      <c r="H22" s="393">
        <v>84339.230233000009</v>
      </c>
      <c r="I22" s="45">
        <v>9.6422895923320623E-2</v>
      </c>
      <c r="J22" s="394">
        <v>39321.001323999997</v>
      </c>
      <c r="K22" s="393">
        <v>76922.171678999992</v>
      </c>
    </row>
    <row r="23" spans="1:15">
      <c r="A23" s="11"/>
      <c r="B23" s="78"/>
      <c r="C23" s="101" t="s">
        <v>61</v>
      </c>
      <c r="D23" s="395">
        <v>4627.1133229999996</v>
      </c>
      <c r="E23" s="396">
        <v>4860.4814030000007</v>
      </c>
      <c r="F23" s="315">
        <v>5.0434917779082267E-2</v>
      </c>
      <c r="G23" s="52">
        <v>-0.16586743535739509</v>
      </c>
      <c r="H23" s="397">
        <v>9487.5947259999994</v>
      </c>
      <c r="I23" s="53">
        <v>-0.1608660736564104</v>
      </c>
      <c r="J23" s="398">
        <v>5826.9891490000009</v>
      </c>
      <c r="K23" s="397">
        <v>11306.412991000001</v>
      </c>
    </row>
    <row r="24" spans="1:15">
      <c r="A24" s="11"/>
      <c r="B24" s="78" t="s">
        <v>29</v>
      </c>
      <c r="C24" s="79"/>
      <c r="D24" s="293">
        <v>3519.1574709999968</v>
      </c>
      <c r="E24" s="382">
        <v>2226.978249999996</v>
      </c>
      <c r="F24" s="313">
        <v>-0.36718425692750195</v>
      </c>
      <c r="G24" s="42" t="s">
        <v>203</v>
      </c>
      <c r="H24" s="383">
        <v>5746.1357209999933</v>
      </c>
      <c r="I24" s="43">
        <v>-0.29220100894267048</v>
      </c>
      <c r="J24" s="385">
        <v>-599.88842300000761</v>
      </c>
      <c r="K24" s="383">
        <v>8118.3157840000003</v>
      </c>
    </row>
    <row r="25" spans="1:15">
      <c r="A25" s="11"/>
      <c r="B25" s="78" t="s">
        <v>31</v>
      </c>
      <c r="C25" s="92"/>
      <c r="D25" s="386">
        <v>1873.7819319999981</v>
      </c>
      <c r="E25" s="387">
        <v>-750.694314999997</v>
      </c>
      <c r="F25" s="316">
        <v>-1.4006305654782019</v>
      </c>
      <c r="G25" s="54">
        <v>-2.0680759351711528</v>
      </c>
      <c r="H25" s="388">
        <v>1123.087617000001</v>
      </c>
      <c r="I25" s="55">
        <v>-0.61675558504334993</v>
      </c>
      <c r="J25" s="389">
        <v>702.84732600000279</v>
      </c>
      <c r="K25" s="388">
        <v>2930.473539000006</v>
      </c>
    </row>
    <row r="26" spans="1:15">
      <c r="A26" s="11"/>
      <c r="B26" s="93" t="s">
        <v>20</v>
      </c>
      <c r="C26" s="83"/>
      <c r="D26" s="303">
        <v>58047.35367099999</v>
      </c>
      <c r="E26" s="297">
        <v>-8488.0605639999048</v>
      </c>
      <c r="F26" s="317">
        <v>-1.1462264862599665</v>
      </c>
      <c r="G26" s="46" t="s">
        <v>203</v>
      </c>
      <c r="H26" s="299">
        <v>49559.293107000085</v>
      </c>
      <c r="I26" s="47" t="s">
        <v>203</v>
      </c>
      <c r="J26" s="301">
        <v>-50618.610202999997</v>
      </c>
      <c r="K26" s="299">
        <v>-90593.109265000021</v>
      </c>
    </row>
    <row r="27" spans="1:15">
      <c r="A27" s="11"/>
      <c r="B27" s="93" t="s">
        <v>32</v>
      </c>
      <c r="C27" s="77"/>
      <c r="D27" s="304">
        <v>-1627.6361970000003</v>
      </c>
      <c r="E27" s="306">
        <v>256.89662599999997</v>
      </c>
      <c r="F27" s="318" t="s">
        <v>203</v>
      </c>
      <c r="G27" s="56" t="s">
        <v>203</v>
      </c>
      <c r="H27" s="305">
        <v>-1370.7395710000003</v>
      </c>
      <c r="I27" s="57" t="s">
        <v>203</v>
      </c>
      <c r="J27" s="307">
        <v>-345.97173100000009</v>
      </c>
      <c r="K27" s="305">
        <v>-1383.3550880000005</v>
      </c>
    </row>
    <row r="28" spans="1:15" ht="17.25" thickBot="1">
      <c r="A28" s="11"/>
      <c r="B28" s="86" t="s">
        <v>33</v>
      </c>
      <c r="C28" s="87"/>
      <c r="D28" s="294">
        <v>79374.581571000002</v>
      </c>
      <c r="E28" s="290">
        <v>33597.164887999999</v>
      </c>
      <c r="F28" s="319">
        <v>-0.5767264000258373</v>
      </c>
      <c r="G28" s="48" t="s">
        <v>203</v>
      </c>
      <c r="H28" s="291">
        <v>112971.746459</v>
      </c>
      <c r="I28" s="49">
        <v>16.261073353069282</v>
      </c>
      <c r="J28" s="292">
        <v>-3960.7391879999996</v>
      </c>
      <c r="K28" s="291">
        <v>6544.88537</v>
      </c>
      <c r="O28" s="233"/>
    </row>
    <row r="29" spans="1:15">
      <c r="A29" s="34"/>
      <c r="B29" s="35"/>
      <c r="C29" s="36"/>
      <c r="D29" s="36"/>
      <c r="E29" s="16"/>
      <c r="F29" s="16"/>
      <c r="G29" s="25"/>
      <c r="H29" s="21"/>
      <c r="I29" s="25"/>
      <c r="J29" s="16"/>
      <c r="K29" s="21"/>
      <c r="O29" s="233"/>
    </row>
    <row r="30" spans="1:15" ht="19.5">
      <c r="A30" s="1"/>
      <c r="B30" s="31" t="s">
        <v>34</v>
      </c>
      <c r="C30" s="1"/>
      <c r="D30" s="1"/>
      <c r="E30" s="1"/>
      <c r="F30" s="1"/>
      <c r="G30" s="7"/>
      <c r="H30" s="7"/>
      <c r="I30" s="7"/>
      <c r="J30" s="1"/>
      <c r="K30" s="7"/>
      <c r="O30" s="233"/>
    </row>
    <row r="31" spans="1:15" ht="20.25" thickBot="1">
      <c r="A31" s="1"/>
      <c r="B31" s="40"/>
      <c r="C31" s="1"/>
      <c r="D31" s="1"/>
      <c r="E31" s="1"/>
      <c r="F31" s="1"/>
      <c r="G31" s="7"/>
      <c r="H31" s="7"/>
      <c r="I31" s="7"/>
      <c r="K31" s="9" t="s">
        <v>35</v>
      </c>
    </row>
    <row r="32" spans="1:15">
      <c r="A32" s="11"/>
      <c r="B32" s="431" t="s">
        <v>18</v>
      </c>
      <c r="C32" s="432"/>
      <c r="D32" s="443" t="s">
        <v>54</v>
      </c>
      <c r="E32" s="444"/>
      <c r="F32" s="444"/>
      <c r="G32" s="445"/>
      <c r="H32" s="411" t="s">
        <v>52</v>
      </c>
      <c r="I32" s="412"/>
      <c r="J32" s="412"/>
      <c r="K32" s="102"/>
    </row>
    <row r="33" spans="1:11" ht="17.25" thickBot="1">
      <c r="A33" s="11"/>
      <c r="B33" s="433"/>
      <c r="C33" s="434"/>
      <c r="D33" s="446"/>
      <c r="E33" s="447"/>
      <c r="F33" s="447"/>
      <c r="G33" s="448"/>
      <c r="H33" s="413"/>
      <c r="I33" s="414"/>
      <c r="J33" s="414"/>
      <c r="K33" s="103" t="s">
        <v>36</v>
      </c>
    </row>
    <row r="34" spans="1:11" ht="17.25" thickTop="1">
      <c r="A34" s="11"/>
      <c r="B34" s="435" t="s">
        <v>37</v>
      </c>
      <c r="C34" s="436"/>
      <c r="D34" s="453">
        <v>14619371.017680001</v>
      </c>
      <c r="E34" s="454"/>
      <c r="F34" s="454"/>
      <c r="G34" s="455"/>
      <c r="H34" s="421">
        <v>13601365.949591</v>
      </c>
      <c r="I34" s="422"/>
      <c r="J34" s="423"/>
      <c r="K34" s="28">
        <v>-6.9633985405929702E-2</v>
      </c>
    </row>
    <row r="35" spans="1:11">
      <c r="A35" s="11"/>
      <c r="B35" s="429" t="s">
        <v>40</v>
      </c>
      <c r="C35" s="430"/>
      <c r="D35" s="450">
        <v>1894926.8823858332</v>
      </c>
      <c r="E35" s="451"/>
      <c r="F35" s="451"/>
      <c r="G35" s="452"/>
      <c r="H35" s="418">
        <v>1963350.5202548895</v>
      </c>
      <c r="I35" s="419"/>
      <c r="J35" s="420"/>
      <c r="K35" s="33">
        <v>3.6108853858733914E-2</v>
      </c>
    </row>
    <row r="36" spans="1:11">
      <c r="A36" s="11"/>
      <c r="B36" s="429" t="s">
        <v>38</v>
      </c>
      <c r="C36" s="430"/>
      <c r="D36" s="450">
        <v>1417967.4576709999</v>
      </c>
      <c r="E36" s="451"/>
      <c r="F36" s="451"/>
      <c r="G36" s="452"/>
      <c r="H36" s="418">
        <v>1451130.4850079999</v>
      </c>
      <c r="I36" s="419"/>
      <c r="J36" s="420"/>
      <c r="K36" s="33">
        <v>2.3387721035199222E-2</v>
      </c>
    </row>
    <row r="37" spans="1:11" ht="17.25" thickBot="1">
      <c r="A37" s="11"/>
      <c r="B37" s="424" t="s">
        <v>39</v>
      </c>
      <c r="C37" s="425"/>
      <c r="D37" s="415">
        <v>1.7829999999999999</v>
      </c>
      <c r="E37" s="416"/>
      <c r="F37" s="416"/>
      <c r="G37" s="449"/>
      <c r="H37" s="415" t="s">
        <v>198</v>
      </c>
      <c r="I37" s="416"/>
      <c r="J37" s="417"/>
      <c r="K37" s="18" t="s">
        <v>199</v>
      </c>
    </row>
    <row r="38" spans="1:11">
      <c r="A38" s="11"/>
      <c r="B38" s="23" t="s">
        <v>214</v>
      </c>
      <c r="C38" s="11"/>
      <c r="D38" s="11"/>
      <c r="E38" s="11"/>
      <c r="F38" s="11"/>
      <c r="G38" s="11"/>
      <c r="H38" s="11"/>
      <c r="I38" s="11"/>
      <c r="J38" s="11"/>
      <c r="K38" s="11"/>
    </row>
    <row r="39" spans="1:11">
      <c r="A39" s="11"/>
      <c r="B39" s="23" t="s">
        <v>215</v>
      </c>
      <c r="C39" s="11"/>
      <c r="D39" s="11"/>
      <c r="E39" s="11"/>
      <c r="F39" s="11"/>
      <c r="G39" s="11"/>
      <c r="H39" s="11"/>
      <c r="I39" s="11"/>
      <c r="J39" s="11"/>
      <c r="K39" s="11"/>
    </row>
    <row r="40" spans="1:11">
      <c r="A40" s="11"/>
      <c r="B40" s="58"/>
      <c r="C40" s="11"/>
      <c r="D40" s="11"/>
      <c r="E40" s="11"/>
      <c r="F40" s="11"/>
      <c r="G40" s="11"/>
      <c r="H40" s="11"/>
      <c r="I40" s="11"/>
      <c r="J40" s="11"/>
      <c r="K40" s="11"/>
    </row>
  </sheetData>
  <mergeCells count="31">
    <mergeCell ref="J6:K6"/>
    <mergeCell ref="E7:E8"/>
    <mergeCell ref="H7:H8"/>
    <mergeCell ref="J7:J8"/>
    <mergeCell ref="K7:K8"/>
    <mergeCell ref="J17:K17"/>
    <mergeCell ref="E18:E19"/>
    <mergeCell ref="H18:H19"/>
    <mergeCell ref="J18:J19"/>
    <mergeCell ref="K18:K19"/>
    <mergeCell ref="B37:C37"/>
    <mergeCell ref="D6:D8"/>
    <mergeCell ref="D17:D19"/>
    <mergeCell ref="B35:C35"/>
    <mergeCell ref="B36:C36"/>
    <mergeCell ref="B32:C33"/>
    <mergeCell ref="B34:C34"/>
    <mergeCell ref="B17:C19"/>
    <mergeCell ref="B6:C8"/>
    <mergeCell ref="D32:G33"/>
    <mergeCell ref="D37:G37"/>
    <mergeCell ref="D36:G36"/>
    <mergeCell ref="D35:G35"/>
    <mergeCell ref="D34:G34"/>
    <mergeCell ref="E17:I17"/>
    <mergeCell ref="E6:I6"/>
    <mergeCell ref="H32:J33"/>
    <mergeCell ref="H37:J37"/>
    <mergeCell ref="H36:J36"/>
    <mergeCell ref="H35:J35"/>
    <mergeCell ref="H34:J34"/>
  </mergeCells>
  <phoneticPr fontId="2" type="noConversion"/>
  <pageMargins left="0.7" right="0.7" top="0.75" bottom="0.75" header="0.3" footer="0.3"/>
  <pageSetup paperSize="9" scale="76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O21"/>
  <sheetViews>
    <sheetView view="pageBreakPreview" zoomScaleNormal="100" zoomScaleSheetLayoutView="100" workbookViewId="0">
      <selection activeCell="S13" sqref="S13"/>
    </sheetView>
  </sheetViews>
  <sheetFormatPr defaultRowHeight="16.5"/>
  <cols>
    <col min="1" max="1" width="0.875" customWidth="1"/>
    <col min="2" max="3" width="3" customWidth="1"/>
    <col min="4" max="4" width="6.625" customWidth="1"/>
    <col min="5" max="5" width="12.125" customWidth="1"/>
    <col min="15" max="15" width="0.75" customWidth="1"/>
  </cols>
  <sheetData>
    <row r="1" spans="1:15" ht="20.100000000000001" customHeight="1">
      <c r="A1" s="1"/>
      <c r="B1" s="31" t="s">
        <v>58</v>
      </c>
      <c r="C1" s="31"/>
      <c r="D1" s="2"/>
      <c r="E1" s="2"/>
      <c r="F1" s="3"/>
      <c r="G1" s="3"/>
      <c r="H1" s="4"/>
      <c r="I1" s="4"/>
      <c r="J1" s="4"/>
      <c r="K1" s="5"/>
      <c r="L1" s="3"/>
      <c r="M1" s="5"/>
      <c r="O1" s="39"/>
    </row>
    <row r="2" spans="1:15" ht="3" customHeight="1">
      <c r="A2" s="29"/>
      <c r="B2" s="29"/>
      <c r="C2" s="29"/>
      <c r="D2" s="29"/>
      <c r="E2" s="29"/>
      <c r="F2" s="29"/>
      <c r="G2" s="29"/>
      <c r="H2" s="30"/>
      <c r="I2" s="30"/>
      <c r="J2" s="30"/>
      <c r="K2" s="30"/>
      <c r="L2" s="29"/>
      <c r="M2" s="30"/>
      <c r="N2" s="30"/>
      <c r="O2" s="366"/>
    </row>
    <row r="3" spans="1:15">
      <c r="A3" s="1"/>
      <c r="B3" s="1"/>
      <c r="C3" s="1"/>
      <c r="D3" s="1"/>
      <c r="E3" s="1"/>
      <c r="F3" s="1"/>
      <c r="G3" s="1"/>
      <c r="H3" s="7"/>
      <c r="I3" s="7"/>
      <c r="J3" s="7"/>
      <c r="K3" s="7"/>
      <c r="L3" s="1"/>
      <c r="M3" s="7"/>
      <c r="N3" s="39"/>
      <c r="O3" s="39"/>
    </row>
    <row r="4" spans="1:15" ht="17.25" thickBot="1">
      <c r="A4" s="1"/>
      <c r="B4" s="3"/>
      <c r="C4" s="3"/>
      <c r="D4" s="3"/>
      <c r="E4" s="3"/>
      <c r="F4" s="1"/>
      <c r="G4" s="1"/>
      <c r="H4" s="7"/>
      <c r="I4" s="7"/>
      <c r="J4" s="7"/>
      <c r="K4" s="7"/>
      <c r="L4" s="1"/>
      <c r="M4" s="9" t="s">
        <v>200</v>
      </c>
      <c r="N4" s="39"/>
      <c r="O4" s="39"/>
    </row>
    <row r="5" spans="1:15" ht="21" customHeight="1">
      <c r="A5" s="3"/>
      <c r="B5" s="437" t="s">
        <v>204</v>
      </c>
      <c r="C5" s="437"/>
      <c r="D5" s="438"/>
      <c r="E5" s="426" t="s">
        <v>57</v>
      </c>
      <c r="F5" s="456">
        <v>2023</v>
      </c>
      <c r="G5" s="457"/>
      <c r="H5" s="457"/>
      <c r="I5" s="457"/>
      <c r="J5" s="457"/>
      <c r="K5" s="458"/>
      <c r="L5" s="456">
        <v>2022</v>
      </c>
      <c r="M5" s="457"/>
      <c r="N5" s="457"/>
      <c r="O5" s="39"/>
    </row>
    <row r="6" spans="1:15" ht="21" customHeight="1">
      <c r="A6" s="3"/>
      <c r="B6" s="439"/>
      <c r="C6" s="439"/>
      <c r="D6" s="440"/>
      <c r="E6" s="427"/>
      <c r="F6" s="459" t="s">
        <v>47</v>
      </c>
      <c r="G6" s="361"/>
      <c r="H6" s="73"/>
      <c r="I6" s="461" t="s">
        <v>205</v>
      </c>
      <c r="J6" s="73"/>
      <c r="K6" s="74"/>
      <c r="L6" s="463" t="s">
        <v>49</v>
      </c>
      <c r="M6" s="465" t="s">
        <v>206</v>
      </c>
      <c r="N6" s="369"/>
      <c r="O6" s="39"/>
    </row>
    <row r="7" spans="1:15" ht="21" customHeight="1" thickBot="1">
      <c r="A7" s="10"/>
      <c r="B7" s="441"/>
      <c r="C7" s="441"/>
      <c r="D7" s="442"/>
      <c r="E7" s="428"/>
      <c r="F7" s="460"/>
      <c r="G7" s="309" t="s">
        <v>55</v>
      </c>
      <c r="H7" s="309" t="s">
        <v>207</v>
      </c>
      <c r="I7" s="462"/>
      <c r="J7" s="309" t="s">
        <v>208</v>
      </c>
      <c r="K7" s="309" t="s">
        <v>19</v>
      </c>
      <c r="L7" s="464"/>
      <c r="M7" s="466"/>
      <c r="N7" s="75" t="s">
        <v>209</v>
      </c>
      <c r="O7" s="39"/>
    </row>
    <row r="8" spans="1:15" ht="21" customHeight="1" thickTop="1">
      <c r="A8" s="11"/>
      <c r="B8" s="80" t="s">
        <v>210</v>
      </c>
      <c r="C8" s="80"/>
      <c r="D8" s="95"/>
      <c r="E8" s="310">
        <v>526622.09603899997</v>
      </c>
      <c r="F8" s="12">
        <v>542771.68076300004</v>
      </c>
      <c r="G8" s="28">
        <v>3.0666363689388541E-2</v>
      </c>
      <c r="H8" s="28">
        <v>0.10678235640097587</v>
      </c>
      <c r="I8" s="321">
        <v>1069393.7768020001</v>
      </c>
      <c r="J8" s="28">
        <v>0.88330594682478225</v>
      </c>
      <c r="K8" s="28">
        <v>9.5055987594451635E-2</v>
      </c>
      <c r="L8" s="14">
        <v>490405.07162399997</v>
      </c>
      <c r="M8" s="13">
        <v>976565.38927399996</v>
      </c>
      <c r="N8" s="28">
        <v>0.86655868190460894</v>
      </c>
      <c r="O8" s="39"/>
    </row>
    <row r="9" spans="1:15" ht="21" customHeight="1">
      <c r="A9" s="11"/>
      <c r="B9" s="84"/>
      <c r="C9" s="84" t="s">
        <v>211</v>
      </c>
      <c r="D9" s="85"/>
      <c r="E9" s="370">
        <v>505047.68086600001</v>
      </c>
      <c r="F9" s="371">
        <v>522690.02318299998</v>
      </c>
      <c r="G9" s="20">
        <v>3.4932033123583166E-2</v>
      </c>
      <c r="H9" s="20">
        <v>0.13849542139780199</v>
      </c>
      <c r="I9" s="372">
        <v>1027737.7040490001</v>
      </c>
      <c r="J9" s="20">
        <v>0.84889854930454822</v>
      </c>
      <c r="K9" s="20">
        <v>0.12869647613685412</v>
      </c>
      <c r="L9" s="373">
        <v>459105.95102899999</v>
      </c>
      <c r="M9" s="374">
        <v>910552.77107499994</v>
      </c>
      <c r="N9" s="20">
        <v>0.80798215641651616</v>
      </c>
      <c r="O9" s="39"/>
    </row>
    <row r="10" spans="1:15" ht="21" customHeight="1">
      <c r="A10" s="11"/>
      <c r="B10" s="84"/>
      <c r="C10" s="84" t="s">
        <v>112</v>
      </c>
      <c r="D10" s="85"/>
      <c r="E10" s="370">
        <v>21574.415173000001</v>
      </c>
      <c r="F10" s="371">
        <v>20081.657579999999</v>
      </c>
      <c r="G10" s="20">
        <v>-6.9191103491331798E-2</v>
      </c>
      <c r="H10" s="20">
        <v>-0.35839546932165173</v>
      </c>
      <c r="I10" s="372">
        <v>41656.072753</v>
      </c>
      <c r="J10" s="20">
        <v>3.4407397520233876E-2</v>
      </c>
      <c r="K10" s="20">
        <v>-0.36896802627302805</v>
      </c>
      <c r="L10" s="373">
        <v>31299.120595</v>
      </c>
      <c r="M10" s="374">
        <v>66012.618199000004</v>
      </c>
      <c r="N10" s="20">
        <v>5.8576525488092716E-2</v>
      </c>
      <c r="O10" s="39"/>
    </row>
    <row r="11" spans="1:15" ht="21" customHeight="1">
      <c r="A11" s="11"/>
      <c r="B11" s="81" t="s">
        <v>212</v>
      </c>
      <c r="C11" s="81"/>
      <c r="D11" s="114"/>
      <c r="E11" s="323">
        <v>33305.627927000001</v>
      </c>
      <c r="F11" s="324">
        <v>40553.337737999995</v>
      </c>
      <c r="G11" s="33">
        <v>0.21761216533390937</v>
      </c>
      <c r="H11" s="33">
        <v>-3.8381728559022242E-2</v>
      </c>
      <c r="I11" s="327">
        <v>73858.965664999996</v>
      </c>
      <c r="J11" s="311">
        <v>6.1006586173823596E-2</v>
      </c>
      <c r="K11" s="311">
        <v>-2.9090591411823432E-2</v>
      </c>
      <c r="L11" s="330">
        <v>42171.970877</v>
      </c>
      <c r="M11" s="327">
        <v>76071.943490999998</v>
      </c>
      <c r="N11" s="311">
        <v>6.7502702640823489E-2</v>
      </c>
      <c r="O11" s="39"/>
    </row>
    <row r="12" spans="1:15" ht="21" customHeight="1">
      <c r="A12" s="11"/>
      <c r="B12" s="81" t="s">
        <v>12</v>
      </c>
      <c r="C12" s="81"/>
      <c r="D12" s="82"/>
      <c r="E12" s="323">
        <v>35436.597643000001</v>
      </c>
      <c r="F12" s="324">
        <v>31982.659377999997</v>
      </c>
      <c r="G12" s="33">
        <v>-9.7468111916277064E-2</v>
      </c>
      <c r="H12" s="33">
        <v>-8.1064445349275621E-2</v>
      </c>
      <c r="I12" s="327">
        <v>67419.257020999998</v>
      </c>
      <c r="J12" s="33">
        <v>5.568746700139425E-2</v>
      </c>
      <c r="K12" s="32">
        <v>-9.2721148172701801E-2</v>
      </c>
      <c r="L12" s="330">
        <v>34804.028656999995</v>
      </c>
      <c r="M12" s="327">
        <v>74309.300701999993</v>
      </c>
      <c r="N12" s="33">
        <v>6.5938615454567542E-2</v>
      </c>
      <c r="O12" s="39"/>
    </row>
    <row r="13" spans="1:15" ht="21" customHeight="1" thickBot="1">
      <c r="A13" s="11"/>
      <c r="B13" s="86" t="s">
        <v>201</v>
      </c>
      <c r="C13" s="86"/>
      <c r="D13" s="87"/>
      <c r="E13" s="294">
        <v>595364.32160899998</v>
      </c>
      <c r="F13" s="325">
        <v>615307.67787900008</v>
      </c>
      <c r="G13" s="18">
        <v>3.3497734993763566E-2</v>
      </c>
      <c r="H13" s="18">
        <v>8.4469872467165558E-2</v>
      </c>
      <c r="I13" s="328">
        <v>1210671.9994880001</v>
      </c>
      <c r="J13" s="18">
        <v>1</v>
      </c>
      <c r="K13" s="18">
        <v>7.4293993641405015E-2</v>
      </c>
      <c r="L13" s="331">
        <v>567381.07115800004</v>
      </c>
      <c r="M13" s="328">
        <v>1126946.633467</v>
      </c>
      <c r="N13" s="18">
        <v>1</v>
      </c>
      <c r="O13" s="39"/>
    </row>
    <row r="14" spans="1:15" ht="21" customHeight="1">
      <c r="A14" s="34"/>
      <c r="B14" s="23" t="s">
        <v>202</v>
      </c>
      <c r="C14" s="35"/>
      <c r="D14" s="36"/>
      <c r="E14" s="36"/>
      <c r="F14" s="16"/>
      <c r="G14" s="16"/>
      <c r="H14" s="25" t="e">
        <f t="shared" ref="H14" si="0">(F14-L14)/L14</f>
        <v>#DIV/0!</v>
      </c>
      <c r="I14" s="21"/>
      <c r="J14" s="25"/>
      <c r="K14" s="25"/>
      <c r="L14" s="16"/>
      <c r="M14" s="21"/>
      <c r="N14" s="39"/>
      <c r="O14" s="39"/>
    </row>
    <row r="15" spans="1:15" s="72" customFormat="1" ht="21" customHeight="1">
      <c r="A15" s="34"/>
      <c r="B15" s="23"/>
      <c r="C15" s="35"/>
      <c r="D15" s="36"/>
      <c r="E15" s="36"/>
      <c r="F15" s="16"/>
      <c r="G15" s="16"/>
      <c r="H15" s="25"/>
      <c r="I15" s="21"/>
      <c r="J15" s="25"/>
      <c r="K15" s="25"/>
      <c r="L15" s="16"/>
      <c r="M15" s="21"/>
      <c r="N15" s="39"/>
      <c r="O15" s="39"/>
    </row>
    <row r="16" spans="1:15" s="72" customFormat="1" ht="21" customHeight="1" thickBot="1">
      <c r="A16" s="34"/>
      <c r="B16" s="70" t="s">
        <v>213</v>
      </c>
      <c r="C16" s="71"/>
      <c r="D16" s="36"/>
      <c r="E16" s="36"/>
      <c r="F16" s="16"/>
      <c r="G16" s="16"/>
      <c r="H16" s="25"/>
      <c r="I16" s="21"/>
      <c r="J16" s="25"/>
      <c r="K16" s="25"/>
      <c r="L16" s="16"/>
      <c r="M16" s="21"/>
      <c r="N16" s="39"/>
      <c r="O16" s="39"/>
    </row>
    <row r="17" spans="1:15" s="72" customFormat="1" ht="21" customHeight="1">
      <c r="A17" s="11"/>
      <c r="B17" s="88" t="s">
        <v>88</v>
      </c>
      <c r="C17" s="89"/>
      <c r="D17" s="90"/>
      <c r="E17" s="295">
        <v>10863.025362</v>
      </c>
      <c r="F17" s="332">
        <v>8498.8886350000012</v>
      </c>
      <c r="G17" s="37">
        <v>-0.21763152052189777</v>
      </c>
      <c r="H17" s="37">
        <v>0.40102586172211402</v>
      </c>
      <c r="I17" s="333">
        <v>19361.913997000003</v>
      </c>
      <c r="J17" s="38">
        <v>0.99371821743944311</v>
      </c>
      <c r="K17" s="38">
        <v>0.70808500404488017</v>
      </c>
      <c r="L17" s="334">
        <v>6066.1896879999995</v>
      </c>
      <c r="M17" s="333">
        <v>11335.451076000001</v>
      </c>
      <c r="N17" s="38">
        <v>0.98705283766043084</v>
      </c>
      <c r="O17" s="39"/>
    </row>
    <row r="18" spans="1:15" s="72" customFormat="1" ht="21" customHeight="1">
      <c r="A18" s="11"/>
      <c r="B18" s="78" t="s">
        <v>92</v>
      </c>
      <c r="C18" s="91"/>
      <c r="D18" s="79"/>
      <c r="E18" s="293">
        <v>89.709199999999996</v>
      </c>
      <c r="F18" s="322">
        <v>32.686999999999998</v>
      </c>
      <c r="G18" s="19">
        <v>-0.63563380344490872</v>
      </c>
      <c r="H18" s="19">
        <v>-0.61789388655936173</v>
      </c>
      <c r="I18" s="326">
        <v>122.39619999999999</v>
      </c>
      <c r="J18" s="20">
        <v>6.2817825605571273E-3</v>
      </c>
      <c r="K18" s="20">
        <v>-0.1768197623195035</v>
      </c>
      <c r="L18" s="329">
        <v>85.544300000000007</v>
      </c>
      <c r="M18" s="326">
        <v>148.68700000000001</v>
      </c>
      <c r="N18" s="20">
        <v>1.2947162339569209E-2</v>
      </c>
      <c r="O18" s="39"/>
    </row>
    <row r="19" spans="1:15" ht="21" customHeight="1" thickBot="1">
      <c r="A19" s="11"/>
      <c r="B19" s="86" t="s">
        <v>101</v>
      </c>
      <c r="C19" s="94"/>
      <c r="D19" s="87"/>
      <c r="E19" s="294">
        <v>10952.734562</v>
      </c>
      <c r="F19" s="325">
        <v>8531.5756350000011</v>
      </c>
      <c r="G19" s="17">
        <v>-0.22105519980371807</v>
      </c>
      <c r="H19" s="17">
        <v>0.38685704740196619</v>
      </c>
      <c r="I19" s="328">
        <v>19484.310196999999</v>
      </c>
      <c r="J19" s="18">
        <v>1</v>
      </c>
      <c r="K19" s="18">
        <v>0.69662799837970157</v>
      </c>
      <c r="L19" s="331">
        <v>6151.733987999999</v>
      </c>
      <c r="M19" s="328">
        <v>11484.138076000001</v>
      </c>
      <c r="N19" s="18">
        <v>1</v>
      </c>
      <c r="O19" s="39"/>
    </row>
    <row r="20" spans="1:15">
      <c r="A20" s="34"/>
      <c r="B20" s="23" t="s">
        <v>116</v>
      </c>
      <c r="C20" s="35"/>
      <c r="D20" s="36"/>
      <c r="E20" s="36"/>
      <c r="F20" s="16"/>
      <c r="G20" s="16"/>
      <c r="H20" s="25"/>
      <c r="I20" s="21"/>
      <c r="J20" s="25"/>
      <c r="K20" s="25"/>
      <c r="L20" s="16"/>
      <c r="M20" s="21"/>
      <c r="O20" s="39"/>
    </row>
    <row r="21" spans="1:15">
      <c r="A21" s="39"/>
      <c r="B21" s="39"/>
      <c r="C21" s="39"/>
      <c r="D21" s="39"/>
      <c r="E21" s="39"/>
      <c r="F21" s="39"/>
      <c r="G21" s="39"/>
      <c r="H21" s="39"/>
      <c r="I21" s="39"/>
      <c r="J21" s="39"/>
      <c r="K21" s="39"/>
      <c r="L21" s="39"/>
      <c r="M21" s="39"/>
      <c r="N21" s="39"/>
      <c r="O21" s="39"/>
    </row>
  </sheetData>
  <mergeCells count="8">
    <mergeCell ref="M6:M7"/>
    <mergeCell ref="L5:N5"/>
    <mergeCell ref="E5:E7"/>
    <mergeCell ref="B5:D7"/>
    <mergeCell ref="F5:K5"/>
    <mergeCell ref="F6:F7"/>
    <mergeCell ref="I6:I7"/>
    <mergeCell ref="L6:L7"/>
  </mergeCells>
  <phoneticPr fontId="2" type="noConversion"/>
  <pageMargins left="0.7" right="0.7" top="0.75" bottom="0.75" header="0.3" footer="0.3"/>
  <pageSetup paperSize="9" scale="75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L27"/>
  <sheetViews>
    <sheetView view="pageBreakPreview" zoomScaleNormal="100" zoomScaleSheetLayoutView="100" workbookViewId="0">
      <selection activeCell="Q41" sqref="Q41"/>
    </sheetView>
  </sheetViews>
  <sheetFormatPr defaultRowHeight="16.5"/>
  <cols>
    <col min="1" max="1" width="0.875" customWidth="1"/>
    <col min="3" max="3" width="3.375" customWidth="1"/>
    <col min="4" max="4" width="20" customWidth="1"/>
    <col min="5" max="5" width="13.125" customWidth="1"/>
  </cols>
  <sheetData>
    <row r="1" spans="1:12" ht="20.100000000000001" customHeight="1">
      <c r="A1" s="1"/>
      <c r="B1" s="2" t="s">
        <v>0</v>
      </c>
      <c r="C1" s="2"/>
      <c r="D1" s="2"/>
      <c r="E1" s="2"/>
      <c r="F1" s="3"/>
      <c r="G1" s="3"/>
      <c r="H1" s="4"/>
      <c r="I1" s="4"/>
      <c r="J1" s="5"/>
      <c r="K1" s="3"/>
      <c r="L1" s="5"/>
    </row>
    <row r="2" spans="1:12" ht="3" customHeight="1">
      <c r="A2" s="29"/>
      <c r="B2" s="29"/>
      <c r="C2" s="29"/>
      <c r="D2" s="29"/>
      <c r="E2" s="29"/>
      <c r="F2" s="29"/>
      <c r="G2" s="29"/>
      <c r="H2" s="30"/>
      <c r="I2" s="30"/>
      <c r="J2" s="30"/>
      <c r="K2" s="29"/>
      <c r="L2" s="30"/>
    </row>
    <row r="3" spans="1:12">
      <c r="A3" s="1"/>
      <c r="B3" s="1"/>
      <c r="C3" s="1"/>
      <c r="D3" s="1"/>
      <c r="E3" s="1"/>
      <c r="F3" s="1"/>
      <c r="G3" s="1"/>
      <c r="H3" s="7"/>
      <c r="I3" s="7"/>
      <c r="J3" s="7"/>
      <c r="K3" s="1"/>
      <c r="L3" s="7"/>
    </row>
    <row r="4" spans="1:12" ht="17.25" thickBot="1">
      <c r="A4" s="1"/>
      <c r="B4" s="3"/>
      <c r="C4" s="3"/>
      <c r="D4" s="3"/>
      <c r="E4" s="3"/>
      <c r="F4" s="1"/>
      <c r="G4" s="1"/>
      <c r="H4" s="7"/>
      <c r="I4" s="7"/>
      <c r="J4" s="7"/>
      <c r="K4" s="1"/>
      <c r="L4" s="9" t="s">
        <v>1</v>
      </c>
    </row>
    <row r="5" spans="1:12">
      <c r="A5" s="3"/>
      <c r="B5" s="437" t="s">
        <v>2</v>
      </c>
      <c r="C5" s="437"/>
      <c r="D5" s="438"/>
      <c r="E5" s="426" t="s">
        <v>53</v>
      </c>
      <c r="F5" s="456">
        <v>2023</v>
      </c>
      <c r="G5" s="457"/>
      <c r="H5" s="457"/>
      <c r="I5" s="457"/>
      <c r="J5" s="458"/>
      <c r="K5" s="456">
        <v>2022</v>
      </c>
      <c r="L5" s="457"/>
    </row>
    <row r="6" spans="1:12" ht="16.5" customHeight="1">
      <c r="A6" s="3"/>
      <c r="B6" s="439"/>
      <c r="C6" s="439"/>
      <c r="D6" s="440"/>
      <c r="E6" s="427"/>
      <c r="F6" s="459" t="s">
        <v>51</v>
      </c>
      <c r="G6" s="361"/>
      <c r="H6" s="73"/>
      <c r="I6" s="461" t="s">
        <v>48</v>
      </c>
      <c r="J6" s="104"/>
      <c r="K6" s="463" t="s">
        <v>49</v>
      </c>
      <c r="L6" s="465" t="s">
        <v>50</v>
      </c>
    </row>
    <row r="7" spans="1:12" ht="17.25" thickBot="1">
      <c r="A7" s="10"/>
      <c r="B7" s="441"/>
      <c r="C7" s="441"/>
      <c r="D7" s="442"/>
      <c r="E7" s="428"/>
      <c r="F7" s="460"/>
      <c r="G7" s="113" t="s">
        <v>55</v>
      </c>
      <c r="H7" s="98" t="s">
        <v>3</v>
      </c>
      <c r="I7" s="462"/>
      <c r="J7" s="76" t="s">
        <v>3</v>
      </c>
      <c r="K7" s="464"/>
      <c r="L7" s="466"/>
    </row>
    <row r="8" spans="1:12" ht="19.5" customHeight="1" thickTop="1">
      <c r="A8" s="11"/>
      <c r="B8" s="470" t="s">
        <v>6</v>
      </c>
      <c r="C8" s="105" t="s">
        <v>16</v>
      </c>
      <c r="D8" s="95"/>
      <c r="E8" s="347">
        <v>41025.947702000005</v>
      </c>
      <c r="F8" s="335">
        <v>43313.282531000004</v>
      </c>
      <c r="G8" s="312">
        <v>5.5753369687264832E-2</v>
      </c>
      <c r="H8" s="41">
        <v>0.10153050717361248</v>
      </c>
      <c r="I8" s="344">
        <v>84339.230233000009</v>
      </c>
      <c r="J8" s="350">
        <v>9.6422895923320623E-2</v>
      </c>
      <c r="K8" s="335">
        <v>39321.001323999997</v>
      </c>
      <c r="L8" s="344">
        <v>76922.171678999992</v>
      </c>
    </row>
    <row r="9" spans="1:12" ht="19.5" customHeight="1">
      <c r="A9" s="11"/>
      <c r="B9" s="471"/>
      <c r="C9" s="106" t="s">
        <v>62</v>
      </c>
      <c r="D9" s="85"/>
      <c r="E9" s="348">
        <v>4627.1133229999996</v>
      </c>
      <c r="F9" s="337">
        <v>4860.4814030000007</v>
      </c>
      <c r="G9" s="320">
        <v>5.0434917779082267E-2</v>
      </c>
      <c r="H9" s="59">
        <v>-0.16586743535739509</v>
      </c>
      <c r="I9" s="345">
        <v>9487.5947259999994</v>
      </c>
      <c r="J9" s="351">
        <v>-0.1608660736564104</v>
      </c>
      <c r="K9" s="337">
        <v>5826.9891490000009</v>
      </c>
      <c r="L9" s="345">
        <v>11306.412991000001</v>
      </c>
    </row>
    <row r="10" spans="1:12" ht="19.5" customHeight="1">
      <c r="A10" s="11"/>
      <c r="B10" s="471"/>
      <c r="C10" s="106" t="s">
        <v>17</v>
      </c>
      <c r="D10" s="85"/>
      <c r="E10" s="348">
        <v>9728.6503289184293</v>
      </c>
      <c r="F10" s="337">
        <v>18100.099156426288</v>
      </c>
      <c r="G10" s="320">
        <v>0.86049436915454891</v>
      </c>
      <c r="H10" s="59">
        <v>0.27790310152281378</v>
      </c>
      <c r="I10" s="345">
        <v>27828.749485344717</v>
      </c>
      <c r="J10" s="351">
        <v>-3.6294769416333098E-2</v>
      </c>
      <c r="K10" s="337">
        <v>14163.905803857348</v>
      </c>
      <c r="L10" s="345">
        <v>28876.827272681989</v>
      </c>
    </row>
    <row r="11" spans="1:12" ht="19.5" customHeight="1">
      <c r="A11" s="11"/>
      <c r="B11" s="471"/>
      <c r="C11" s="78" t="s">
        <v>7</v>
      </c>
      <c r="D11" s="79"/>
      <c r="E11" s="338">
        <v>9916.772995000043</v>
      </c>
      <c r="F11" s="329">
        <v>18770.654636999992</v>
      </c>
      <c r="G11" s="313">
        <v>0.8928188279054089</v>
      </c>
      <c r="H11" s="42">
        <v>4.3849228380722569E-2</v>
      </c>
      <c r="I11" s="326">
        <v>28687.427632000035</v>
      </c>
      <c r="J11" s="352">
        <v>-0.13390780129083418</v>
      </c>
      <c r="K11" s="329">
        <v>17982.151182999947</v>
      </c>
      <c r="L11" s="326">
        <v>33122.833428999962</v>
      </c>
    </row>
    <row r="12" spans="1:12" ht="19.5" customHeight="1">
      <c r="A12" s="11"/>
      <c r="B12" s="471"/>
      <c r="C12" s="78" t="s">
        <v>8</v>
      </c>
      <c r="D12" s="85"/>
      <c r="E12" s="336">
        <v>-188.12266608161394</v>
      </c>
      <c r="F12" s="329">
        <v>-670.55548057370208</v>
      </c>
      <c r="G12" s="313" t="s">
        <v>203</v>
      </c>
      <c r="H12" s="42" t="s">
        <v>203</v>
      </c>
      <c r="I12" s="326">
        <v>-858.67814665531603</v>
      </c>
      <c r="J12" s="352" t="s">
        <v>203</v>
      </c>
      <c r="K12" s="329">
        <v>-3818.2453791425992</v>
      </c>
      <c r="L12" s="326">
        <v>-4246.0061563179761</v>
      </c>
    </row>
    <row r="13" spans="1:12" ht="19.5" customHeight="1">
      <c r="A13" s="11"/>
      <c r="B13" s="471"/>
      <c r="C13" s="106" t="s">
        <v>146</v>
      </c>
      <c r="D13" s="85"/>
      <c r="E13" s="336">
        <v>-4735.9647510000004</v>
      </c>
      <c r="F13" s="337">
        <v>-6448.5628159999969</v>
      </c>
      <c r="G13" s="320" t="s">
        <v>203</v>
      </c>
      <c r="H13" s="59" t="s">
        <v>203</v>
      </c>
      <c r="I13" s="345">
        <v>-11184.527566999997</v>
      </c>
      <c r="J13" s="351" t="s">
        <v>203</v>
      </c>
      <c r="K13" s="337">
        <v>-6687.7765439999966</v>
      </c>
      <c r="L13" s="345">
        <v>-10342.803012999995</v>
      </c>
    </row>
    <row r="14" spans="1:12" ht="19.5" customHeight="1">
      <c r="A14" s="11"/>
      <c r="B14" s="471"/>
      <c r="C14" s="106" t="s">
        <v>145</v>
      </c>
      <c r="D14" s="85"/>
      <c r="E14" s="336">
        <v>9055.9756660000003</v>
      </c>
      <c r="F14" s="337">
        <v>5386.6714470000006</v>
      </c>
      <c r="G14" s="320">
        <v>-0.40518044154824029</v>
      </c>
      <c r="H14" s="59">
        <v>-0.19298419509963907</v>
      </c>
      <c r="I14" s="345">
        <v>14442.647113000001</v>
      </c>
      <c r="J14" s="351">
        <v>0.31041657094129932</v>
      </c>
      <c r="K14" s="337">
        <v>6674.8029150000002</v>
      </c>
      <c r="L14" s="345">
        <v>11021.416725999999</v>
      </c>
    </row>
    <row r="15" spans="1:12" ht="19.5" customHeight="1" thickBot="1">
      <c r="A15" s="11"/>
      <c r="B15" s="472"/>
      <c r="C15" s="107" t="s">
        <v>5</v>
      </c>
      <c r="D15" s="108"/>
      <c r="E15" s="339">
        <v>41589.770936918438</v>
      </c>
      <c r="F15" s="331">
        <v>54438.628827426284</v>
      </c>
      <c r="G15" s="319">
        <v>0.30894274243530789</v>
      </c>
      <c r="H15" s="48">
        <v>0.18475382437611618</v>
      </c>
      <c r="I15" s="328">
        <v>96028.399764344722</v>
      </c>
      <c r="J15" s="353">
        <v>2.9998327162223054E-3</v>
      </c>
      <c r="K15" s="331">
        <v>45949.316817857347</v>
      </c>
      <c r="L15" s="328">
        <v>95741.192203681989</v>
      </c>
    </row>
    <row r="16" spans="1:12" ht="19.5" customHeight="1">
      <c r="A16" s="11"/>
      <c r="B16" s="467" t="s">
        <v>4</v>
      </c>
      <c r="C16" s="84" t="s">
        <v>174</v>
      </c>
      <c r="D16" s="96"/>
      <c r="E16" s="340">
        <v>16574.593605999995</v>
      </c>
      <c r="F16" s="337">
        <v>13371.927840999997</v>
      </c>
      <c r="G16" s="320">
        <v>-0.19322740823284104</v>
      </c>
      <c r="H16" s="59">
        <v>-0.21511382084004452</v>
      </c>
      <c r="I16" s="345">
        <v>29946.521446999992</v>
      </c>
      <c r="J16" s="354">
        <v>-0.22756552636727276</v>
      </c>
      <c r="K16" s="337">
        <v>17036.773224</v>
      </c>
      <c r="L16" s="345">
        <v>38769.012090000004</v>
      </c>
    </row>
    <row r="17" spans="1:12" ht="19.5" customHeight="1">
      <c r="A17" s="11"/>
      <c r="B17" s="468"/>
      <c r="C17" s="106" t="s">
        <v>175</v>
      </c>
      <c r="D17" s="85"/>
      <c r="E17" s="348">
        <v>13055.436135</v>
      </c>
      <c r="F17" s="337">
        <v>11144.949591000001</v>
      </c>
      <c r="G17" s="320">
        <v>-0.14633647809575834</v>
      </c>
      <c r="H17" s="59">
        <v>-0.3680805464170282</v>
      </c>
      <c r="I17" s="345">
        <v>24200.385726</v>
      </c>
      <c r="J17" s="351">
        <v>-0.34587754180249253</v>
      </c>
      <c r="K17" s="337">
        <v>17636.661647000008</v>
      </c>
      <c r="L17" s="345">
        <v>36996.720450000008</v>
      </c>
    </row>
    <row r="18" spans="1:12" ht="19.5" customHeight="1" thickBot="1">
      <c r="A18" s="11"/>
      <c r="B18" s="469"/>
      <c r="C18" s="109" t="s">
        <v>5</v>
      </c>
      <c r="D18" s="87"/>
      <c r="E18" s="357">
        <v>3519.157470999995</v>
      </c>
      <c r="F18" s="331">
        <v>2226.9782499999965</v>
      </c>
      <c r="G18" s="319">
        <v>-0.36718425692750151</v>
      </c>
      <c r="H18" s="48" t="s">
        <v>203</v>
      </c>
      <c r="I18" s="328">
        <v>5746.1357209999915</v>
      </c>
      <c r="J18" s="353">
        <v>2.2422066387448543</v>
      </c>
      <c r="K18" s="331">
        <v>-599.88842300000761</v>
      </c>
      <c r="L18" s="328">
        <v>1772.2916399999958</v>
      </c>
    </row>
    <row r="19" spans="1:12" ht="19.5" customHeight="1">
      <c r="A19" s="11"/>
      <c r="B19" s="467" t="s">
        <v>9</v>
      </c>
      <c r="C19" s="110" t="s">
        <v>174</v>
      </c>
      <c r="D19" s="111"/>
      <c r="E19" s="358">
        <v>28141.629730999997</v>
      </c>
      <c r="F19" s="341">
        <v>28250.95892400001</v>
      </c>
      <c r="G19" s="359">
        <v>3.8849630972003892E-3</v>
      </c>
      <c r="H19" s="50">
        <v>-0.18987105772604274</v>
      </c>
      <c r="I19" s="346">
        <v>56392.588655000007</v>
      </c>
      <c r="J19" s="355">
        <v>-0.22063463073151612</v>
      </c>
      <c r="K19" s="341">
        <v>34872.175835000009</v>
      </c>
      <c r="L19" s="346">
        <v>72357.062398000009</v>
      </c>
    </row>
    <row r="20" spans="1:12" ht="19.5" customHeight="1">
      <c r="A20" s="11"/>
      <c r="B20" s="468"/>
      <c r="C20" s="106" t="s">
        <v>175</v>
      </c>
      <c r="D20" s="79"/>
      <c r="E20" s="340">
        <v>26267.847798999996</v>
      </c>
      <c r="F20" s="337">
        <v>29001.653239000007</v>
      </c>
      <c r="G20" s="320">
        <v>0.10407420740819451</v>
      </c>
      <c r="H20" s="59">
        <v>-0.15123724976447411</v>
      </c>
      <c r="I20" s="345">
        <v>55269.501038000002</v>
      </c>
      <c r="J20" s="351">
        <v>-0.20391449520517205</v>
      </c>
      <c r="K20" s="337">
        <v>34169.328509000006</v>
      </c>
      <c r="L20" s="345">
        <v>69426.58885900001</v>
      </c>
    </row>
    <row r="21" spans="1:12" ht="19.5" customHeight="1" thickBot="1">
      <c r="A21" s="11"/>
      <c r="B21" s="469"/>
      <c r="C21" s="107" t="s">
        <v>5</v>
      </c>
      <c r="D21" s="112"/>
      <c r="E21" s="339">
        <v>1873.7819320000017</v>
      </c>
      <c r="F21" s="331">
        <v>-750.694314999997</v>
      </c>
      <c r="G21" s="319">
        <v>-1.4006305654782012</v>
      </c>
      <c r="H21" s="48">
        <v>-2.0680759351711528</v>
      </c>
      <c r="I21" s="328">
        <v>1123.0876170000047</v>
      </c>
      <c r="J21" s="353">
        <v>-0.61675558504334782</v>
      </c>
      <c r="K21" s="331">
        <v>702.84732600000279</v>
      </c>
      <c r="L21" s="328">
        <v>2930.4735389999987</v>
      </c>
    </row>
    <row r="22" spans="1:12" ht="19.5" customHeight="1" thickBot="1">
      <c r="A22" s="11"/>
      <c r="B22" s="473" t="s">
        <v>10</v>
      </c>
      <c r="C22" s="473"/>
      <c r="D22" s="474"/>
      <c r="E22" s="342">
        <v>46982.710339918427</v>
      </c>
      <c r="F22" s="343">
        <v>55914.912762426276</v>
      </c>
      <c r="G22" s="360">
        <v>0.19011679738958537</v>
      </c>
      <c r="H22" s="349">
        <v>0.21416177348868962</v>
      </c>
      <c r="I22" s="22">
        <v>102897.6231023447</v>
      </c>
      <c r="J22" s="356">
        <v>2.4428206370986416E-2</v>
      </c>
      <c r="K22" s="343">
        <v>46052.275720857346</v>
      </c>
      <c r="L22" s="22">
        <v>100443.95738268198</v>
      </c>
    </row>
    <row r="23" spans="1:12">
      <c r="A23" s="11"/>
      <c r="B23" s="23" t="s">
        <v>147</v>
      </c>
      <c r="C23" s="24"/>
      <c r="D23" s="24"/>
      <c r="E23" s="24"/>
      <c r="F23" s="16"/>
      <c r="G23" s="16"/>
      <c r="H23" s="25"/>
      <c r="I23" s="26"/>
      <c r="J23" s="25"/>
      <c r="K23" s="16"/>
      <c r="L23" s="27"/>
    </row>
    <row r="24" spans="1:12">
      <c r="A24" s="11"/>
      <c r="B24" s="23" t="s">
        <v>148</v>
      </c>
      <c r="C24" s="24"/>
      <c r="D24" s="24"/>
      <c r="E24" s="24"/>
      <c r="F24" s="16"/>
      <c r="G24" s="16"/>
      <c r="H24" s="25"/>
      <c r="I24" s="26"/>
      <c r="J24" s="25"/>
      <c r="K24" s="16"/>
      <c r="L24" s="27"/>
    </row>
    <row r="25" spans="1:12">
      <c r="A25" s="11"/>
      <c r="B25" s="23" t="s">
        <v>149</v>
      </c>
      <c r="C25" s="11"/>
      <c r="D25" s="11"/>
      <c r="E25" s="11"/>
      <c r="F25" s="11"/>
      <c r="G25" s="11"/>
      <c r="H25" s="11"/>
      <c r="I25" s="11"/>
      <c r="J25" s="11"/>
      <c r="K25" s="11"/>
      <c r="L25" s="11"/>
    </row>
    <row r="26" spans="1:12">
      <c r="A26" s="39"/>
      <c r="B26" s="23" t="s">
        <v>153</v>
      </c>
      <c r="C26" s="39"/>
      <c r="D26" s="39"/>
      <c r="E26" s="39"/>
      <c r="F26" s="39"/>
      <c r="G26" s="39"/>
      <c r="H26" s="39"/>
      <c r="I26" s="39"/>
      <c r="J26" s="39"/>
      <c r="K26" s="39"/>
      <c r="L26" s="39"/>
    </row>
    <row r="27" spans="1:12">
      <c r="A27" s="39"/>
      <c r="B27" s="23" t="s">
        <v>154</v>
      </c>
      <c r="C27" s="39"/>
      <c r="D27" s="39"/>
      <c r="E27" s="39"/>
      <c r="F27" s="39"/>
      <c r="G27" s="39"/>
      <c r="H27" s="39"/>
      <c r="I27" s="39"/>
      <c r="J27" s="39"/>
      <c r="K27" s="39"/>
      <c r="L27" s="39"/>
    </row>
  </sheetData>
  <mergeCells count="12">
    <mergeCell ref="F5:J5"/>
    <mergeCell ref="K5:L5"/>
    <mergeCell ref="F6:F7"/>
    <mergeCell ref="I6:I7"/>
    <mergeCell ref="K6:K7"/>
    <mergeCell ref="L6:L7"/>
    <mergeCell ref="B16:B18"/>
    <mergeCell ref="B8:B15"/>
    <mergeCell ref="B19:B21"/>
    <mergeCell ref="B22:D22"/>
    <mergeCell ref="E5:E7"/>
    <mergeCell ref="B5:D7"/>
  </mergeCells>
  <phoneticPr fontId="2" type="noConversion"/>
  <pageMargins left="0.7" right="0.7" top="0.75" bottom="0.75" header="0.3" footer="0.3"/>
  <pageSetup paperSize="9" scale="73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L10"/>
  <sheetViews>
    <sheetView tabSelected="1" view="pageBreakPreview" zoomScaleNormal="100" zoomScaleSheetLayoutView="100" workbookViewId="0">
      <selection activeCell="E28" sqref="E28"/>
    </sheetView>
  </sheetViews>
  <sheetFormatPr defaultRowHeight="16.5"/>
  <cols>
    <col min="1" max="1" width="0.875" customWidth="1"/>
    <col min="2" max="2" width="4.5" customWidth="1"/>
    <col min="3" max="3" width="28.375" customWidth="1"/>
    <col min="4" max="11" width="12" customWidth="1"/>
    <col min="12" max="12" width="0.75" customWidth="1"/>
  </cols>
  <sheetData>
    <row r="1" spans="1:12" ht="20.100000000000001" customHeight="1">
      <c r="A1" s="1"/>
      <c r="B1" s="2" t="s">
        <v>218</v>
      </c>
      <c r="C1" s="2"/>
      <c r="D1" s="2"/>
      <c r="E1" s="3"/>
      <c r="F1" s="3"/>
      <c r="G1" s="4"/>
      <c r="H1" s="4"/>
      <c r="I1" s="5"/>
      <c r="J1" s="3"/>
      <c r="K1" s="5"/>
      <c r="L1" s="6"/>
    </row>
    <row r="2" spans="1:12" ht="3" customHeight="1">
      <c r="A2" s="29"/>
      <c r="B2" s="29"/>
      <c r="C2" s="29"/>
      <c r="D2" s="29"/>
      <c r="E2" s="29"/>
      <c r="F2" s="29"/>
      <c r="G2" s="30"/>
      <c r="H2" s="30"/>
      <c r="I2" s="30"/>
      <c r="J2" s="29"/>
      <c r="K2" s="30"/>
      <c r="L2" s="367"/>
    </row>
    <row r="3" spans="1:12">
      <c r="A3" s="1"/>
      <c r="B3" s="1"/>
      <c r="C3" s="1"/>
      <c r="D3" s="1"/>
      <c r="E3" s="1"/>
      <c r="F3" s="1"/>
      <c r="G3" s="7"/>
      <c r="H3" s="7"/>
      <c r="I3" s="7"/>
      <c r="J3" s="1"/>
      <c r="K3" s="7"/>
      <c r="L3" s="8"/>
    </row>
    <row r="4" spans="1:12" s="124" customFormat="1" ht="17.25">
      <c r="A4" s="1"/>
      <c r="B4" s="406" t="s">
        <v>221</v>
      </c>
      <c r="C4" s="3"/>
      <c r="D4" s="3"/>
      <c r="E4" s="1"/>
      <c r="F4" s="1"/>
      <c r="G4" s="7"/>
      <c r="H4" s="7"/>
      <c r="I4" s="7"/>
      <c r="J4" s="1"/>
      <c r="K4" s="9"/>
      <c r="L4" s="399"/>
    </row>
    <row r="5" spans="1:12" s="124" customFormat="1">
      <c r="A5" s="3"/>
      <c r="B5" s="475"/>
      <c r="C5" s="475"/>
      <c r="D5" s="475"/>
      <c r="E5" s="476"/>
      <c r="F5" s="476"/>
      <c r="G5" s="476"/>
      <c r="H5" s="476"/>
      <c r="I5" s="476"/>
      <c r="J5" s="476"/>
      <c r="K5" s="476"/>
      <c r="L5" s="6"/>
    </row>
    <row r="6" spans="1:12" s="124" customFormat="1">
      <c r="A6" s="3"/>
      <c r="B6" s="475"/>
      <c r="C6" s="475"/>
      <c r="D6" s="475"/>
      <c r="E6" s="475"/>
      <c r="F6" s="401"/>
      <c r="G6" s="402"/>
      <c r="H6" s="477"/>
      <c r="I6" s="362"/>
      <c r="J6" s="475"/>
      <c r="K6" s="478"/>
      <c r="L6" s="6"/>
    </row>
    <row r="7" spans="1:12" s="124" customFormat="1">
      <c r="A7" s="10"/>
      <c r="B7" s="475"/>
      <c r="C7" s="475"/>
      <c r="D7" s="475"/>
      <c r="E7" s="475"/>
      <c r="F7" s="363"/>
      <c r="G7" s="363"/>
      <c r="H7" s="477"/>
      <c r="I7" s="363"/>
      <c r="J7" s="475"/>
      <c r="K7" s="478"/>
      <c r="L7" s="6"/>
    </row>
    <row r="8" spans="1:12" s="124" customFormat="1">
      <c r="A8" s="34"/>
      <c r="B8" s="403"/>
      <c r="C8" s="403"/>
      <c r="D8" s="340"/>
      <c r="E8" s="340"/>
      <c r="F8" s="25"/>
      <c r="G8" s="25"/>
      <c r="H8" s="340"/>
      <c r="I8" s="404"/>
      <c r="J8" s="340"/>
      <c r="K8" s="340"/>
      <c r="L8" s="400"/>
    </row>
    <row r="9" spans="1:12" ht="5.0999999999999996" customHeight="1">
      <c r="A9" s="364"/>
      <c r="B9" s="364"/>
      <c r="C9" s="364"/>
      <c r="D9" s="364"/>
      <c r="E9" s="364"/>
      <c r="F9" s="364"/>
      <c r="G9" s="365"/>
      <c r="H9" s="365"/>
      <c r="I9" s="365"/>
      <c r="J9" s="364"/>
      <c r="K9" s="365"/>
      <c r="L9" s="368"/>
    </row>
    <row r="10" spans="1:12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5"/>
    </row>
  </sheetData>
  <mergeCells count="8">
    <mergeCell ref="B5:C7"/>
    <mergeCell ref="E5:I5"/>
    <mergeCell ref="J5:K5"/>
    <mergeCell ref="E6:E7"/>
    <mergeCell ref="H6:H7"/>
    <mergeCell ref="J6:J7"/>
    <mergeCell ref="K6:K7"/>
    <mergeCell ref="D5:D7"/>
  </mergeCells>
  <phoneticPr fontId="2" type="noConversion"/>
  <pageMargins left="0.7" right="0.7" top="0.75" bottom="0.75" header="0.3" footer="0.3"/>
  <pageSetup paperSize="9" scale="62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M9"/>
  <sheetViews>
    <sheetView view="pageBreakPreview" zoomScaleNormal="100" zoomScaleSheetLayoutView="100" workbookViewId="0">
      <selection activeCell="K24" sqref="K24"/>
    </sheetView>
  </sheetViews>
  <sheetFormatPr defaultRowHeight="16.5"/>
  <cols>
    <col min="1" max="1" width="0.875" customWidth="1"/>
    <col min="2" max="2" width="3.25" customWidth="1"/>
    <col min="3" max="3" width="25.375" customWidth="1"/>
    <col min="4" max="4" width="14.875" customWidth="1"/>
    <col min="5" max="5" width="9" customWidth="1"/>
    <col min="6" max="6" width="11" customWidth="1"/>
    <col min="7" max="7" width="14.875" customWidth="1"/>
    <col min="8" max="8" width="9" customWidth="1"/>
    <col min="9" max="9" width="11" customWidth="1"/>
    <col min="10" max="10" width="14.875" customWidth="1"/>
    <col min="11" max="11" width="14.5" customWidth="1"/>
    <col min="12" max="12" width="1" customWidth="1"/>
  </cols>
  <sheetData>
    <row r="1" spans="1:13" ht="19.5" customHeight="1">
      <c r="A1" s="1"/>
      <c r="B1" s="2" t="s">
        <v>219</v>
      </c>
      <c r="C1" s="2"/>
      <c r="D1" s="3"/>
      <c r="E1" s="4"/>
      <c r="F1" s="5"/>
      <c r="G1" s="3"/>
      <c r="H1" s="4"/>
      <c r="I1" s="5"/>
      <c r="J1" s="3"/>
      <c r="K1" s="5"/>
      <c r="L1" s="6"/>
      <c r="M1" s="23"/>
    </row>
    <row r="2" spans="1:13" ht="3" customHeight="1">
      <c r="A2" s="29"/>
      <c r="B2" s="29"/>
      <c r="C2" s="29"/>
      <c r="D2" s="29"/>
      <c r="E2" s="30"/>
      <c r="F2" s="30"/>
      <c r="G2" s="29"/>
      <c r="H2" s="30"/>
      <c r="I2" s="30"/>
      <c r="J2" s="29"/>
      <c r="K2" s="30"/>
      <c r="L2" s="367"/>
      <c r="M2" s="60"/>
    </row>
    <row r="3" spans="1:13">
      <c r="A3" s="1"/>
      <c r="B3" s="1"/>
      <c r="C3" s="1"/>
      <c r="D3" s="1"/>
      <c r="E3" s="7"/>
      <c r="F3" s="7"/>
      <c r="G3" s="1"/>
      <c r="H3" s="7"/>
      <c r="I3" s="7"/>
      <c r="J3" s="1"/>
      <c r="K3" s="7"/>
      <c r="L3" s="8"/>
      <c r="M3" s="23"/>
    </row>
    <row r="4" spans="1:13" s="124" customFormat="1" ht="17.25">
      <c r="A4" s="1"/>
      <c r="B4" s="406" t="s">
        <v>220</v>
      </c>
      <c r="C4" s="3"/>
      <c r="D4" s="1"/>
      <c r="E4" s="7"/>
      <c r="F4" s="7"/>
      <c r="G4" s="1"/>
      <c r="H4" s="7"/>
      <c r="I4" s="7"/>
      <c r="J4" s="1"/>
      <c r="K4" s="9"/>
      <c r="L4" s="399"/>
      <c r="M4" s="407"/>
    </row>
    <row r="5" spans="1:13" s="124" customFormat="1">
      <c r="A5" s="3"/>
      <c r="B5" s="475"/>
      <c r="C5" s="475"/>
      <c r="D5" s="475"/>
      <c r="E5" s="402"/>
      <c r="F5" s="362"/>
      <c r="G5" s="475"/>
      <c r="H5" s="402"/>
      <c r="I5" s="362"/>
      <c r="J5" s="475"/>
      <c r="K5" s="4"/>
      <c r="L5" s="6"/>
      <c r="M5" s="3"/>
    </row>
    <row r="6" spans="1:13" s="124" customFormat="1">
      <c r="A6" s="10"/>
      <c r="B6" s="475"/>
      <c r="C6" s="475"/>
      <c r="D6" s="475"/>
      <c r="E6" s="363"/>
      <c r="F6" s="363"/>
      <c r="G6" s="475"/>
      <c r="H6" s="363"/>
      <c r="I6" s="363"/>
      <c r="J6" s="475"/>
      <c r="K6" s="363"/>
      <c r="L6" s="6"/>
      <c r="M6" s="61"/>
    </row>
    <row r="7" spans="1:13" s="124" customFormat="1">
      <c r="A7" s="34"/>
      <c r="B7" s="403"/>
      <c r="C7" s="405"/>
      <c r="D7" s="408"/>
      <c r="E7" s="409"/>
      <c r="F7" s="410"/>
      <c r="G7" s="408"/>
      <c r="H7" s="409"/>
      <c r="I7" s="410"/>
      <c r="J7" s="408"/>
      <c r="K7" s="409"/>
      <c r="L7" s="400"/>
      <c r="M7" s="62"/>
    </row>
    <row r="8" spans="1:13" s="124" customFormat="1">
      <c r="A8" s="34"/>
      <c r="B8" s="405"/>
      <c r="C8" s="405"/>
      <c r="D8" s="408"/>
      <c r="E8" s="409"/>
      <c r="F8" s="409"/>
      <c r="G8" s="408"/>
      <c r="H8" s="409"/>
      <c r="I8" s="409"/>
      <c r="J8" s="408"/>
      <c r="K8" s="409"/>
      <c r="L8" s="400"/>
      <c r="M8" s="62"/>
    </row>
    <row r="9" spans="1:13">
      <c r="A9" s="39"/>
      <c r="B9" s="39"/>
      <c r="C9" s="39"/>
      <c r="D9" s="39"/>
      <c r="E9" s="39"/>
      <c r="F9" s="39"/>
      <c r="G9" s="39"/>
      <c r="H9" s="39"/>
      <c r="I9" s="39"/>
      <c r="J9" s="39"/>
      <c r="K9" s="39"/>
      <c r="L9" s="39"/>
      <c r="M9" s="39"/>
    </row>
  </sheetData>
  <mergeCells count="4">
    <mergeCell ref="B5:C6"/>
    <mergeCell ref="G5:G6"/>
    <mergeCell ref="J5:J6"/>
    <mergeCell ref="D5:D6"/>
  </mergeCells>
  <phoneticPr fontId="2" type="noConversion"/>
  <pageMargins left="0.7" right="0.7" top="0.75" bottom="0.75" header="0.3" footer="0.3"/>
  <pageSetup paperSize="9" scale="62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"/>
  <sheetViews>
    <sheetView workbookViewId="0">
      <selection activeCell="J29" sqref="J29"/>
    </sheetView>
  </sheetViews>
  <sheetFormatPr defaultRowHeight="16.5"/>
  <sheetData/>
  <phoneticPr fontId="2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6:AW104"/>
  <sheetViews>
    <sheetView zoomScale="85" zoomScaleNormal="85" workbookViewId="0">
      <pane xSplit="15" ySplit="12" topLeftCell="Y25" activePane="bottomRight" state="frozen"/>
      <selection pane="topRight" activeCell="N1" sqref="N1"/>
      <selection pane="bottomLeft" activeCell="A12" sqref="A12"/>
      <selection pane="bottomRight" activeCell="K48" sqref="K48"/>
    </sheetView>
  </sheetViews>
  <sheetFormatPr defaultRowHeight="16.5"/>
  <cols>
    <col min="1" max="2" width="11.375" style="39" customWidth="1"/>
    <col min="3" max="6" width="4.25" style="39" customWidth="1"/>
    <col min="7" max="7" width="10.875" style="39" customWidth="1"/>
    <col min="8" max="15" width="10.25" style="39" customWidth="1"/>
    <col min="16" max="16" width="2.625" style="39" customWidth="1"/>
    <col min="17" max="40" width="11.625" style="39" customWidth="1"/>
    <col min="41" max="16384" width="9" style="39"/>
  </cols>
  <sheetData>
    <row r="6" spans="1:49">
      <c r="H6" s="39">
        <v>202112</v>
      </c>
      <c r="I6" s="39">
        <f>+H7</f>
        <v>202203</v>
      </c>
      <c r="J6" s="39">
        <f t="shared" ref="J6:O6" si="0">+I7</f>
        <v>202206</v>
      </c>
      <c r="K6" s="39">
        <f t="shared" si="0"/>
        <v>202209</v>
      </c>
      <c r="L6" s="39">
        <f t="shared" si="0"/>
        <v>202212</v>
      </c>
      <c r="M6" s="39">
        <f t="shared" si="0"/>
        <v>202303</v>
      </c>
      <c r="N6" s="39">
        <f t="shared" si="0"/>
        <v>202306</v>
      </c>
      <c r="O6" s="39">
        <f t="shared" si="0"/>
        <v>202309</v>
      </c>
    </row>
    <row r="7" spans="1:49">
      <c r="H7" s="121">
        <v>202203</v>
      </c>
      <c r="I7" s="121">
        <f>+H7+3</f>
        <v>202206</v>
      </c>
      <c r="J7" s="121">
        <f t="shared" ref="J7:K7" si="1">+I7+3</f>
        <v>202209</v>
      </c>
      <c r="K7" s="121">
        <f t="shared" si="1"/>
        <v>202212</v>
      </c>
      <c r="L7" s="121">
        <f>+H7+100</f>
        <v>202303</v>
      </c>
      <c r="M7" s="121">
        <f t="shared" ref="M7:O7" si="2">+I7+100</f>
        <v>202306</v>
      </c>
      <c r="N7" s="121">
        <f t="shared" si="2"/>
        <v>202309</v>
      </c>
      <c r="O7" s="121">
        <f t="shared" si="2"/>
        <v>202312</v>
      </c>
    </row>
    <row r="8" spans="1:49">
      <c r="H8" s="121">
        <v>2022</v>
      </c>
      <c r="I8" s="121">
        <v>2022</v>
      </c>
      <c r="J8" s="121">
        <v>2022</v>
      </c>
      <c r="K8" s="121">
        <v>2022</v>
      </c>
      <c r="L8" s="121">
        <v>2023</v>
      </c>
      <c r="M8" s="121">
        <v>2023</v>
      </c>
      <c r="N8" s="121">
        <v>2023</v>
      </c>
      <c r="O8" s="121">
        <v>2023</v>
      </c>
      <c r="Q8" s="121">
        <f>+VALUE(LEFT(Q11,4))</f>
        <v>2022</v>
      </c>
      <c r="R8" s="121">
        <f t="shared" ref="R8:AB8" si="3">+VALUE(LEFT(R11,4))</f>
        <v>2022</v>
      </c>
      <c r="S8" s="121">
        <f t="shared" si="3"/>
        <v>2022</v>
      </c>
      <c r="T8" s="121">
        <f t="shared" si="3"/>
        <v>2022</v>
      </c>
      <c r="U8" s="121">
        <f t="shared" si="3"/>
        <v>2022</v>
      </c>
      <c r="V8" s="121">
        <f t="shared" si="3"/>
        <v>2022</v>
      </c>
      <c r="W8" s="121">
        <f t="shared" si="3"/>
        <v>2022</v>
      </c>
      <c r="X8" s="121">
        <f t="shared" si="3"/>
        <v>2022</v>
      </c>
      <c r="Y8" s="121">
        <f t="shared" si="3"/>
        <v>2022</v>
      </c>
      <c r="Z8" s="121">
        <f t="shared" si="3"/>
        <v>2022</v>
      </c>
      <c r="AA8" s="121">
        <f t="shared" si="3"/>
        <v>2022</v>
      </c>
      <c r="AB8" s="121">
        <f t="shared" si="3"/>
        <v>2022</v>
      </c>
      <c r="AC8" s="121">
        <f>+VALUE(LEFT(AC11,4))</f>
        <v>2023</v>
      </c>
      <c r="AD8" s="121">
        <f t="shared" ref="AD8:AN8" si="4">+VALUE(LEFT(AD11,4))</f>
        <v>2023</v>
      </c>
      <c r="AE8" s="121">
        <f t="shared" si="4"/>
        <v>2023</v>
      </c>
      <c r="AF8" s="121">
        <f t="shared" si="4"/>
        <v>2023</v>
      </c>
      <c r="AG8" s="121">
        <f t="shared" si="4"/>
        <v>2023</v>
      </c>
      <c r="AH8" s="121">
        <f t="shared" si="4"/>
        <v>2023</v>
      </c>
      <c r="AI8" s="121">
        <f t="shared" si="4"/>
        <v>2023</v>
      </c>
      <c r="AJ8" s="121">
        <f t="shared" si="4"/>
        <v>2023</v>
      </c>
      <c r="AK8" s="121">
        <f t="shared" si="4"/>
        <v>2023</v>
      </c>
      <c r="AL8" s="121">
        <f t="shared" si="4"/>
        <v>2023</v>
      </c>
      <c r="AM8" s="121">
        <f t="shared" si="4"/>
        <v>2023</v>
      </c>
      <c r="AN8" s="121">
        <f t="shared" si="4"/>
        <v>2023</v>
      </c>
    </row>
    <row r="9" spans="1:49">
      <c r="C9" s="39" t="s">
        <v>125</v>
      </c>
      <c r="H9" s="121" t="s">
        <v>130</v>
      </c>
      <c r="I9" s="121" t="s">
        <v>131</v>
      </c>
      <c r="J9" s="121" t="s">
        <v>132</v>
      </c>
      <c r="K9" s="121" t="s">
        <v>129</v>
      </c>
      <c r="L9" s="121" t="s">
        <v>130</v>
      </c>
      <c r="M9" s="121" t="s">
        <v>131</v>
      </c>
      <c r="N9" s="121" t="s">
        <v>132</v>
      </c>
      <c r="O9" s="121" t="s">
        <v>129</v>
      </c>
      <c r="Q9" s="121" t="s">
        <v>130</v>
      </c>
      <c r="R9" s="121" t="s">
        <v>130</v>
      </c>
      <c r="S9" s="121" t="s">
        <v>130</v>
      </c>
      <c r="T9" s="121" t="s">
        <v>131</v>
      </c>
      <c r="U9" s="121" t="s">
        <v>131</v>
      </c>
      <c r="V9" s="121" t="s">
        <v>131</v>
      </c>
      <c r="W9" s="121" t="s">
        <v>132</v>
      </c>
      <c r="X9" s="121" t="s">
        <v>132</v>
      </c>
      <c r="Y9" s="121" t="s">
        <v>132</v>
      </c>
      <c r="Z9" s="121" t="s">
        <v>129</v>
      </c>
      <c r="AA9" s="121" t="s">
        <v>129</v>
      </c>
      <c r="AB9" s="121" t="s">
        <v>129</v>
      </c>
      <c r="AC9" s="121" t="s">
        <v>130</v>
      </c>
      <c r="AD9" s="121" t="s">
        <v>130</v>
      </c>
      <c r="AE9" s="121" t="s">
        <v>130</v>
      </c>
      <c r="AF9" s="121" t="s">
        <v>131</v>
      </c>
      <c r="AG9" s="121" t="s">
        <v>131</v>
      </c>
      <c r="AH9" s="121" t="s">
        <v>131</v>
      </c>
      <c r="AI9" s="121" t="s">
        <v>132</v>
      </c>
      <c r="AJ9" s="121" t="s">
        <v>132</v>
      </c>
      <c r="AK9" s="121" t="s">
        <v>132</v>
      </c>
      <c r="AL9" s="121" t="s">
        <v>129</v>
      </c>
      <c r="AM9" s="121" t="s">
        <v>129</v>
      </c>
      <c r="AN9" s="121" t="s">
        <v>129</v>
      </c>
    </row>
    <row r="10" spans="1:49" ht="20.25">
      <c r="C10" s="210" t="s">
        <v>133</v>
      </c>
      <c r="H10" s="121"/>
      <c r="I10" s="121"/>
      <c r="J10" s="121"/>
      <c r="K10" s="121"/>
      <c r="L10" s="121"/>
      <c r="M10" s="121"/>
      <c r="N10" s="121"/>
      <c r="O10" s="121"/>
      <c r="Q10" s="121"/>
      <c r="R10" s="121"/>
      <c r="S10" s="121"/>
      <c r="T10" s="121"/>
      <c r="U10" s="121"/>
      <c r="V10" s="121"/>
      <c r="W10" s="121"/>
      <c r="X10" s="121"/>
      <c r="Y10" s="121"/>
      <c r="Z10" s="121"/>
      <c r="AA10" s="121"/>
      <c r="AB10" s="121"/>
      <c r="AC10" s="121"/>
      <c r="AD10" s="121"/>
      <c r="AE10" s="121"/>
      <c r="AF10" s="121"/>
      <c r="AG10" s="121"/>
      <c r="AH10" s="121"/>
      <c r="AI10" s="121"/>
      <c r="AJ10" s="121"/>
      <c r="AK10" s="121"/>
      <c r="AL10" s="121"/>
      <c r="AM10" s="121"/>
      <c r="AN10" s="121"/>
    </row>
    <row r="11" spans="1:49">
      <c r="A11" s="39">
        <v>2022</v>
      </c>
      <c r="B11" s="39">
        <v>2023</v>
      </c>
      <c r="C11" s="479" t="s">
        <v>124</v>
      </c>
      <c r="D11" s="480"/>
      <c r="E11" s="480"/>
      <c r="F11" s="480"/>
      <c r="G11" s="481"/>
      <c r="H11" s="485">
        <v>2022</v>
      </c>
      <c r="I11" s="486"/>
      <c r="J11" s="486"/>
      <c r="K11" s="486"/>
      <c r="L11" s="485">
        <v>2023</v>
      </c>
      <c r="M11" s="486"/>
      <c r="N11" s="486"/>
      <c r="O11" s="487"/>
      <c r="Q11" s="142">
        <v>202201</v>
      </c>
      <c r="R11" s="140">
        <f>+Q11+1</f>
        <v>202202</v>
      </c>
      <c r="S11" s="140">
        <f t="shared" ref="S11:AB11" si="5">+R11+1</f>
        <v>202203</v>
      </c>
      <c r="T11" s="147">
        <f t="shared" si="5"/>
        <v>202204</v>
      </c>
      <c r="U11" s="140">
        <f t="shared" si="5"/>
        <v>202205</v>
      </c>
      <c r="V11" s="148">
        <f t="shared" si="5"/>
        <v>202206</v>
      </c>
      <c r="W11" s="147">
        <f t="shared" si="5"/>
        <v>202207</v>
      </c>
      <c r="X11" s="140">
        <f t="shared" si="5"/>
        <v>202208</v>
      </c>
      <c r="Y11" s="148">
        <f t="shared" si="5"/>
        <v>202209</v>
      </c>
      <c r="Z11" s="140">
        <f t="shared" si="5"/>
        <v>202210</v>
      </c>
      <c r="AA11" s="140">
        <f t="shared" si="5"/>
        <v>202211</v>
      </c>
      <c r="AB11" s="141">
        <f t="shared" si="5"/>
        <v>202212</v>
      </c>
      <c r="AC11" s="140">
        <f>+Q11+100</f>
        <v>202301</v>
      </c>
      <c r="AD11" s="140">
        <f t="shared" ref="AD11:AN11" si="6">+R11+100</f>
        <v>202302</v>
      </c>
      <c r="AE11" s="140">
        <f t="shared" si="6"/>
        <v>202303</v>
      </c>
      <c r="AF11" s="147">
        <f t="shared" si="6"/>
        <v>202304</v>
      </c>
      <c r="AG11" s="140">
        <f t="shared" si="6"/>
        <v>202305</v>
      </c>
      <c r="AH11" s="148">
        <f t="shared" si="6"/>
        <v>202306</v>
      </c>
      <c r="AI11" s="147">
        <f t="shared" si="6"/>
        <v>202307</v>
      </c>
      <c r="AJ11" s="140">
        <f t="shared" si="6"/>
        <v>202308</v>
      </c>
      <c r="AK11" s="148">
        <f t="shared" si="6"/>
        <v>202309</v>
      </c>
      <c r="AL11" s="140">
        <f t="shared" si="6"/>
        <v>202310</v>
      </c>
      <c r="AM11" s="140">
        <f t="shared" si="6"/>
        <v>202311</v>
      </c>
      <c r="AN11" s="141">
        <f t="shared" si="6"/>
        <v>202312</v>
      </c>
    </row>
    <row r="12" spans="1:49">
      <c r="A12" s="39" t="s">
        <v>197</v>
      </c>
      <c r="B12" s="39" t="s">
        <v>196</v>
      </c>
      <c r="C12" s="482"/>
      <c r="D12" s="483"/>
      <c r="E12" s="483"/>
      <c r="F12" s="483"/>
      <c r="G12" s="484"/>
      <c r="H12" s="186" t="s">
        <v>126</v>
      </c>
      <c r="I12" s="187" t="s">
        <v>127</v>
      </c>
      <c r="J12" s="187" t="s">
        <v>128</v>
      </c>
      <c r="K12" s="188" t="s">
        <v>129</v>
      </c>
      <c r="L12" s="186" t="s">
        <v>126</v>
      </c>
      <c r="M12" s="187" t="s">
        <v>127</v>
      </c>
      <c r="N12" s="187" t="s">
        <v>128</v>
      </c>
      <c r="O12" s="188" t="s">
        <v>129</v>
      </c>
      <c r="Q12" s="142"/>
      <c r="R12" s="140"/>
      <c r="S12" s="140"/>
      <c r="T12" s="147"/>
      <c r="U12" s="140"/>
      <c r="V12" s="148"/>
      <c r="W12" s="147"/>
      <c r="X12" s="140"/>
      <c r="Y12" s="148"/>
      <c r="Z12" s="140"/>
      <c r="AA12" s="140"/>
      <c r="AB12" s="141"/>
      <c r="AC12" s="140"/>
      <c r="AD12" s="140"/>
      <c r="AE12" s="140"/>
      <c r="AF12" s="147"/>
      <c r="AG12" s="140"/>
      <c r="AH12" s="148"/>
      <c r="AI12" s="147"/>
      <c r="AJ12" s="140"/>
      <c r="AK12" s="148"/>
      <c r="AL12" s="140"/>
      <c r="AM12" s="140"/>
      <c r="AN12" s="141"/>
    </row>
    <row r="13" spans="1:49">
      <c r="A13" s="115">
        <f>+H13+I13</f>
        <v>976565.38927399996</v>
      </c>
      <c r="B13" s="115">
        <f>+L13+M13</f>
        <v>1069393.7768020001</v>
      </c>
      <c r="C13" s="171" t="s">
        <v>99</v>
      </c>
      <c r="D13" s="172"/>
      <c r="E13" s="172"/>
      <c r="F13" s="172"/>
      <c r="G13" s="172"/>
      <c r="H13" s="189">
        <f t="shared" ref="H13:O16" si="7">+SUMIFS($Q13:$AN13,$Q$8:$AN$8,H$8,$Q$9:$AN$9,H$9)</f>
        <v>486160.31764999998</v>
      </c>
      <c r="I13" s="190">
        <f t="shared" si="7"/>
        <v>490405.07162399997</v>
      </c>
      <c r="J13" s="190">
        <f t="shared" si="7"/>
        <v>499449.78607599996</v>
      </c>
      <c r="K13" s="191">
        <f t="shared" si="7"/>
        <v>574600.40314700012</v>
      </c>
      <c r="L13" s="189">
        <f t="shared" si="7"/>
        <v>526622.09603899997</v>
      </c>
      <c r="M13" s="190">
        <f t="shared" si="7"/>
        <v>542771.68076300004</v>
      </c>
      <c r="N13" s="190">
        <f t="shared" si="7"/>
        <v>0</v>
      </c>
      <c r="O13" s="191">
        <f t="shared" si="7"/>
        <v>0</v>
      </c>
      <c r="Q13" s="173">
        <f>+SUMIFS('R'!$G:$G,'R'!$B:$B,월별!Q$11)/1000000</f>
        <v>161679.660156</v>
      </c>
      <c r="R13" s="174">
        <f>+SUMIFS('R'!$G:$G,'R'!$B:$B,월별!R$11)/1000000</f>
        <v>160373.35852899999</v>
      </c>
      <c r="S13" s="174">
        <f>+SUMIFS('R'!$G:$G,'R'!$B:$B,월별!S$11)/1000000</f>
        <v>164107.29896499999</v>
      </c>
      <c r="T13" s="175">
        <f>+SUMIFS('R'!$G:$G,'R'!$B:$B,월별!T$11)/1000000</f>
        <v>162960.55231999999</v>
      </c>
      <c r="U13" s="174">
        <f>+SUMIFS('R'!$G:$G,'R'!$B:$B,월별!U$11)/1000000</f>
        <v>163462.15181000001</v>
      </c>
      <c r="V13" s="176">
        <f>+SUMIFS('R'!$G:$G,'R'!$B:$B,월별!V$11)/1000000</f>
        <v>163982.36749400001</v>
      </c>
      <c r="W13" s="175">
        <f>+SUMIFS('R'!$G:$G,'R'!$B:$B,월별!W$11)/1000000</f>
        <v>165823.042606</v>
      </c>
      <c r="X13" s="174">
        <f>+SUMIFS('R'!$G:$G,'R'!$B:$B,월별!X$11)/1000000</f>
        <v>166170.62490699999</v>
      </c>
      <c r="Y13" s="176">
        <f>+SUMIFS('R'!$G:$G,'R'!$B:$B,월별!Y$11)/1000000</f>
        <v>167456.118563</v>
      </c>
      <c r="Z13" s="174">
        <f>+SUMIFS('R'!$G:$G,'R'!$B:$B,월별!Z$11)/1000000</f>
        <v>168555.02661100001</v>
      </c>
      <c r="AA13" s="174">
        <f>+SUMIFS('R'!$G:$G,'R'!$B:$B,월별!AA$11)/1000000</f>
        <v>207254.08463600001</v>
      </c>
      <c r="AB13" s="177">
        <f>+SUMIFS('R'!$G:$G,'R'!$B:$B,월별!AB$11)/1000000</f>
        <v>198791.29190000001</v>
      </c>
      <c r="AC13" s="174">
        <f>+SUMIFS('R'!$G:$G,'R'!$B:$B,월별!AC$11)/1000000</f>
        <v>171964.28312800001</v>
      </c>
      <c r="AD13" s="174">
        <f>+SUMIFS('R'!$G:$G,'R'!$B:$B,월별!AD$11)/1000000</f>
        <v>175303.659227</v>
      </c>
      <c r="AE13" s="174">
        <f>+SUMIFS('R'!$G:$G,'R'!$B:$B,월별!AE$11)/1000000</f>
        <v>179354.15368399999</v>
      </c>
      <c r="AF13" s="175">
        <f>+SUMIFS('R'!$G:$G,'R'!$B:$B,월별!AF$11)/1000000</f>
        <v>179645.261585</v>
      </c>
      <c r="AG13" s="174">
        <f>+SUMIFS('R'!$G:$G,'R'!$B:$B,월별!AG$11)/1000000</f>
        <v>180163.304042</v>
      </c>
      <c r="AH13" s="176">
        <f>+SUMIFS('R'!$G:$G,'R'!$B:$B,월별!AH$11)/1000000</f>
        <v>182963.11513600001</v>
      </c>
      <c r="AI13" s="175"/>
      <c r="AJ13" s="174"/>
      <c r="AK13" s="176"/>
      <c r="AL13" s="174"/>
      <c r="AM13" s="174"/>
      <c r="AN13" s="177"/>
      <c r="AO13" s="115"/>
      <c r="AP13" s="115"/>
      <c r="AQ13" s="115"/>
      <c r="AR13" s="115"/>
      <c r="AS13" s="115"/>
      <c r="AT13" s="115"/>
      <c r="AU13" s="115"/>
      <c r="AV13" s="115"/>
      <c r="AW13" s="115"/>
    </row>
    <row r="14" spans="1:49">
      <c r="A14" s="115">
        <f t="shared" ref="A14:A17" si="8">+H14+I14</f>
        <v>11484.138075999999</v>
      </c>
      <c r="B14" s="115">
        <f t="shared" ref="B14:B17" si="9">+L14+M14</f>
        <v>19484.310196999999</v>
      </c>
      <c r="C14" s="123"/>
      <c r="D14" s="124" t="s">
        <v>107</v>
      </c>
      <c r="E14" s="124"/>
      <c r="F14" s="124"/>
      <c r="G14" s="124"/>
      <c r="H14" s="192">
        <f t="shared" si="7"/>
        <v>5332.4040880000002</v>
      </c>
      <c r="I14" s="193">
        <f t="shared" si="7"/>
        <v>6151.733988</v>
      </c>
      <c r="J14" s="193">
        <f t="shared" si="7"/>
        <v>8179.6113109999988</v>
      </c>
      <c r="K14" s="194">
        <f t="shared" si="7"/>
        <v>8855.5614829999995</v>
      </c>
      <c r="L14" s="192">
        <f t="shared" si="7"/>
        <v>10952.734562</v>
      </c>
      <c r="M14" s="193">
        <f t="shared" si="7"/>
        <v>8531.5756350000011</v>
      </c>
      <c r="N14" s="193">
        <f t="shared" si="7"/>
        <v>0</v>
      </c>
      <c r="O14" s="194">
        <f t="shared" si="7"/>
        <v>0</v>
      </c>
      <c r="Q14" s="144">
        <f>+SUMIFS('R'!$G:$G,'R'!$B:$B,월별!Q$11,'R'!$F:$F,"Y",'R'!$E:$E,"10")/1000000</f>
        <v>1575.110318</v>
      </c>
      <c r="R14" s="125">
        <f>+SUMIFS('R'!$G:$G,'R'!$B:$B,월별!R$11,'R'!$F:$F,"Y",'R'!$E:$E,"10")/1000000</f>
        <v>1530.7435700000001</v>
      </c>
      <c r="S14" s="125">
        <f>+SUMIFS('R'!$G:$G,'R'!$B:$B,월별!S$11,'R'!$F:$F,"Y",'R'!$E:$E,"10")/1000000</f>
        <v>2226.5502000000001</v>
      </c>
      <c r="T14" s="151">
        <f>+SUMIFS('R'!$G:$G,'R'!$B:$B,월별!T$11,'R'!$F:$F,"Y",'R'!$E:$E,"10")/1000000</f>
        <v>1859.1213760000001</v>
      </c>
      <c r="U14" s="125">
        <f>+SUMIFS('R'!$G:$G,'R'!$B:$B,월별!U$11,'R'!$F:$F,"Y",'R'!$E:$E,"10")/1000000</f>
        <v>2005.592486</v>
      </c>
      <c r="V14" s="152">
        <f>+SUMIFS('R'!$G:$G,'R'!$B:$B,월별!V$11,'R'!$F:$F,"Y",'R'!$E:$E,"10")/1000000</f>
        <v>2287.0201259999999</v>
      </c>
      <c r="W14" s="151">
        <f>+SUMIFS('R'!$G:$G,'R'!$B:$B,월별!W$11,'R'!$F:$F,"Y",'R'!$E:$E,"10")/1000000</f>
        <v>2642.303105</v>
      </c>
      <c r="X14" s="125">
        <f>+SUMIFS('R'!$G:$G,'R'!$B:$B,월별!X$11,'R'!$F:$F,"Y",'R'!$E:$E,"10")/1000000</f>
        <v>2649.7982999999999</v>
      </c>
      <c r="Y14" s="152">
        <f>+SUMIFS('R'!$G:$G,'R'!$B:$B,월별!Y$11,'R'!$F:$F,"Y",'R'!$E:$E,"10")/1000000</f>
        <v>2887.5099059999998</v>
      </c>
      <c r="Z14" s="125">
        <f>+SUMIFS('R'!$G:$G,'R'!$B:$B,월별!Z$11,'R'!$F:$F,"Y",'R'!$E:$E,"10")/1000000</f>
        <v>2490.7084989999998</v>
      </c>
      <c r="AA14" s="125">
        <f>+SUMIFS('R'!$G:$G,'R'!$B:$B,월별!AA$11,'R'!$F:$F,"Y",'R'!$E:$E,"10")/1000000</f>
        <v>2782.5952050000001</v>
      </c>
      <c r="AB14" s="126">
        <f>+SUMIFS('R'!$G:$G,'R'!$B:$B,월별!AB$11,'R'!$F:$F,"Y",'R'!$E:$E,"10")/1000000</f>
        <v>3582.257779</v>
      </c>
      <c r="AC14" s="125">
        <f>+SUMIFS('R'!$G:$G,'R'!$B:$B,월별!AC$11,'R'!$F:$F,"Y",'R'!$E:$E,"10")/1000000</f>
        <v>3405.6211579999999</v>
      </c>
      <c r="AD14" s="125">
        <f>+SUMIFS('R'!$G:$G,'R'!$B:$B,월별!AD$11,'R'!$F:$F,"Y",'R'!$E:$E,"10")/1000000</f>
        <v>3900.9111419999999</v>
      </c>
      <c r="AE14" s="125">
        <f>+SUMIFS('R'!$G:$G,'R'!$B:$B,월별!AE$11,'R'!$F:$F,"Y",'R'!$E:$E,"10")/1000000</f>
        <v>3646.2022619999998</v>
      </c>
      <c r="AF14" s="151">
        <f>+SUMIFS('R'!$G:$G,'R'!$B:$B,월별!AF$11,'R'!$F:$F,"Y",'R'!$E:$E,"10")/1000000</f>
        <v>2630.1310039999998</v>
      </c>
      <c r="AG14" s="125">
        <f>+SUMIFS('R'!$G:$G,'R'!$B:$B,월별!AG$11,'R'!$F:$F,"Y",'R'!$E:$E,"10")/1000000</f>
        <v>2515.390124</v>
      </c>
      <c r="AH14" s="152">
        <f>+SUMIFS('R'!$G:$G,'R'!$B:$B,월별!AH$11,'R'!$F:$F,"Y",'R'!$E:$E,"10")/1000000</f>
        <v>3386.0545069999998</v>
      </c>
      <c r="AI14" s="151"/>
      <c r="AJ14" s="125"/>
      <c r="AK14" s="152"/>
      <c r="AL14" s="125"/>
      <c r="AM14" s="125"/>
      <c r="AN14" s="126"/>
      <c r="AO14" s="115"/>
      <c r="AP14" s="115"/>
      <c r="AQ14" s="115"/>
      <c r="AR14" s="115"/>
      <c r="AS14" s="115"/>
      <c r="AT14" s="115"/>
      <c r="AU14" s="115"/>
      <c r="AV14" s="115"/>
      <c r="AW14" s="115"/>
    </row>
    <row r="15" spans="1:49">
      <c r="A15" s="115">
        <f t="shared" si="8"/>
        <v>76071.943490999998</v>
      </c>
      <c r="B15" s="115">
        <f t="shared" si="9"/>
        <v>73858.965664999996</v>
      </c>
      <c r="C15" s="178" t="s">
        <v>4</v>
      </c>
      <c r="D15" s="179"/>
      <c r="E15" s="179"/>
      <c r="F15" s="179"/>
      <c r="G15" s="179"/>
      <c r="H15" s="195">
        <f t="shared" si="7"/>
        <v>33899.972613999998</v>
      </c>
      <c r="I15" s="196">
        <f t="shared" si="7"/>
        <v>42171.970877</v>
      </c>
      <c r="J15" s="196">
        <f t="shared" si="7"/>
        <v>31894.665093000003</v>
      </c>
      <c r="K15" s="197">
        <f t="shared" si="7"/>
        <v>32764.057189999992</v>
      </c>
      <c r="L15" s="195">
        <f t="shared" si="7"/>
        <v>33305.627927000001</v>
      </c>
      <c r="M15" s="196">
        <f t="shared" si="7"/>
        <v>40553.337737999995</v>
      </c>
      <c r="N15" s="196">
        <f t="shared" si="7"/>
        <v>0</v>
      </c>
      <c r="O15" s="197">
        <f t="shared" si="7"/>
        <v>0</v>
      </c>
      <c r="Q15" s="180">
        <f>+'[1]K-IFRS_당월'!GD5</f>
        <v>16655.656640000001</v>
      </c>
      <c r="R15" s="181">
        <f>+'[1]K-IFRS_당월'!GE5</f>
        <v>6880.6088549999986</v>
      </c>
      <c r="S15" s="181">
        <f>+'[1]K-IFRS_당월'!GF5</f>
        <v>10363.707118999999</v>
      </c>
      <c r="T15" s="182">
        <f>+'[1]K-IFRS_당월'!GG5</f>
        <v>11195.858078000005</v>
      </c>
      <c r="U15" s="181">
        <f>+'[1]K-IFRS_당월'!GH5</f>
        <v>9008.223791999997</v>
      </c>
      <c r="V15" s="183">
        <f>+'[1]K-IFRS_당월'!GI5</f>
        <v>21967.889006999998</v>
      </c>
      <c r="W15" s="182">
        <f>+'[1]K-IFRS_당월'!GJ5</f>
        <v>15276.624612</v>
      </c>
      <c r="X15" s="181">
        <f>+'[1]K-IFRS_당월'!GK5</f>
        <v>7861.4187899999961</v>
      </c>
      <c r="Y15" s="183">
        <f>+'[1]K-IFRS_당월'!GL5</f>
        <v>8756.6216910000076</v>
      </c>
      <c r="Z15" s="181">
        <f>+'[1]K-IFRS_당월'!GM5</f>
        <v>5773.0621510000055</v>
      </c>
      <c r="AA15" s="181">
        <f>+'[1]K-IFRS_당월'!GN5</f>
        <v>6765.1999129999895</v>
      </c>
      <c r="AB15" s="184">
        <f>+'[1]K-IFRS_당월'!GO5</f>
        <v>20225.795125999997</v>
      </c>
      <c r="AC15" s="181">
        <f>+'[1]K-IFRS_당월'!GP5</f>
        <v>15259.96444</v>
      </c>
      <c r="AD15" s="181">
        <f>+'[1]K-IFRS_당월'!GQ5</f>
        <v>8408.6484070000006</v>
      </c>
      <c r="AE15" s="181">
        <f>+'[1]K-IFRS_당월'!GR5</f>
        <v>9637.015080000001</v>
      </c>
      <c r="AF15" s="182">
        <f>+'[1]K-IFRS_당월'!GS5</f>
        <v>9628.7337689999986</v>
      </c>
      <c r="AG15" s="181">
        <f>+'[1]K-IFRS_당월'!GT5</f>
        <v>10246.974563000003</v>
      </c>
      <c r="AH15" s="183">
        <f>+'[1]K-IFRS_당월'!GU5</f>
        <v>20677.629405999993</v>
      </c>
      <c r="AI15" s="182"/>
      <c r="AJ15" s="181"/>
      <c r="AK15" s="183"/>
      <c r="AL15" s="181"/>
      <c r="AM15" s="181"/>
      <c r="AN15" s="184"/>
      <c r="AO15" s="115"/>
      <c r="AP15" s="115"/>
      <c r="AQ15" s="115"/>
      <c r="AR15" s="115"/>
      <c r="AS15" s="115"/>
      <c r="AT15" s="115"/>
      <c r="AU15" s="115"/>
      <c r="AV15" s="115"/>
      <c r="AW15" s="115"/>
    </row>
    <row r="16" spans="1:49">
      <c r="A16" s="115">
        <f t="shared" si="8"/>
        <v>74309.300701999993</v>
      </c>
      <c r="B16" s="115">
        <f t="shared" si="9"/>
        <v>67419.257020999998</v>
      </c>
      <c r="C16" s="178" t="s">
        <v>98</v>
      </c>
      <c r="D16" s="179"/>
      <c r="E16" s="179"/>
      <c r="F16" s="179"/>
      <c r="G16" s="179"/>
      <c r="H16" s="195">
        <f t="shared" si="7"/>
        <v>39505.272044999998</v>
      </c>
      <c r="I16" s="196">
        <f t="shared" si="7"/>
        <v>34804.028656999995</v>
      </c>
      <c r="J16" s="196">
        <f t="shared" si="7"/>
        <v>32561.483953000003</v>
      </c>
      <c r="K16" s="197">
        <f t="shared" si="7"/>
        <v>30988.352746000019</v>
      </c>
      <c r="L16" s="195">
        <f t="shared" si="7"/>
        <v>35436.597643000001</v>
      </c>
      <c r="M16" s="196">
        <f t="shared" si="7"/>
        <v>31982.659377999997</v>
      </c>
      <c r="N16" s="196">
        <f t="shared" si="7"/>
        <v>0</v>
      </c>
      <c r="O16" s="197">
        <f t="shared" si="7"/>
        <v>0</v>
      </c>
      <c r="Q16" s="180">
        <f>+'[1]K-IFRS_당월'!GD16</f>
        <v>14178.192738</v>
      </c>
      <c r="R16" s="181">
        <f>+'[1]K-IFRS_당월'!GE16</f>
        <v>11934.633196000001</v>
      </c>
      <c r="S16" s="181">
        <f>+'[1]K-IFRS_당월'!GF16</f>
        <v>13392.446110999997</v>
      </c>
      <c r="T16" s="182">
        <f>+'[1]K-IFRS_당월'!GG16</f>
        <v>11769.172953000001</v>
      </c>
      <c r="U16" s="181">
        <f>+'[1]K-IFRS_당월'!GH16</f>
        <v>11588.793892000002</v>
      </c>
      <c r="V16" s="183">
        <f>+'[1]K-IFRS_당월'!GI16</f>
        <v>11446.061811999993</v>
      </c>
      <c r="W16" s="182">
        <f>+'[1]K-IFRS_당월'!GJ16</f>
        <v>10847.35491200001</v>
      </c>
      <c r="X16" s="181">
        <f>+'[1]K-IFRS_당월'!GK16</f>
        <v>11506.804118999993</v>
      </c>
      <c r="Y16" s="183">
        <f>+'[1]K-IFRS_당월'!GL16</f>
        <v>10207.324922</v>
      </c>
      <c r="Z16" s="181">
        <f>+'[1]K-IFRS_당월'!GM16</f>
        <v>10184.674265000009</v>
      </c>
      <c r="AA16" s="181">
        <f>+'[1]K-IFRS_당월'!GN16</f>
        <v>9925.6483379999991</v>
      </c>
      <c r="AB16" s="184">
        <f>+'[1]K-IFRS_당월'!GO16</f>
        <v>10878.030143000011</v>
      </c>
      <c r="AC16" s="181">
        <f>+'[1]K-IFRS_당월'!GP16</f>
        <v>11001.580475999999</v>
      </c>
      <c r="AD16" s="181">
        <f>+'[1]K-IFRS_당월'!GQ16</f>
        <v>11552.112515000001</v>
      </c>
      <c r="AE16" s="181">
        <f>+'[1]K-IFRS_당월'!GR16</f>
        <v>12882.904652000001</v>
      </c>
      <c r="AF16" s="182">
        <f>+'[1]K-IFRS_당월'!GS16</f>
        <v>10988.870767</v>
      </c>
      <c r="AG16" s="181">
        <f>+'[1]K-IFRS_당월'!GT16</f>
        <v>10857.977727999998</v>
      </c>
      <c r="AH16" s="183">
        <f>+'[1]K-IFRS_당월'!GU16</f>
        <v>10135.810882999998</v>
      </c>
      <c r="AI16" s="182"/>
      <c r="AJ16" s="181"/>
      <c r="AK16" s="183"/>
      <c r="AL16" s="181"/>
      <c r="AM16" s="181"/>
      <c r="AN16" s="184"/>
      <c r="AO16" s="115"/>
      <c r="AP16" s="115"/>
      <c r="AQ16" s="115"/>
      <c r="AR16" s="115"/>
      <c r="AS16" s="115"/>
      <c r="AT16" s="115"/>
      <c r="AU16" s="115"/>
      <c r="AV16" s="115"/>
      <c r="AW16" s="115"/>
    </row>
    <row r="17" spans="1:49">
      <c r="A17" s="115">
        <f t="shared" si="8"/>
        <v>1126946.633467</v>
      </c>
      <c r="B17" s="115">
        <f t="shared" si="9"/>
        <v>1210671.9994880001</v>
      </c>
      <c r="C17" s="157" t="s">
        <v>100</v>
      </c>
      <c r="D17" s="158"/>
      <c r="E17" s="158"/>
      <c r="F17" s="158"/>
      <c r="G17" s="158"/>
      <c r="H17" s="198">
        <f t="shared" ref="H17:O17" si="10">+H16+H15+H13</f>
        <v>559565.56230899994</v>
      </c>
      <c r="I17" s="199">
        <f t="shared" si="10"/>
        <v>567381.07115800004</v>
      </c>
      <c r="J17" s="199">
        <f t="shared" si="10"/>
        <v>563905.93512199994</v>
      </c>
      <c r="K17" s="200">
        <f t="shared" si="10"/>
        <v>638352.81308300013</v>
      </c>
      <c r="L17" s="198">
        <f t="shared" si="10"/>
        <v>595364.32160899998</v>
      </c>
      <c r="M17" s="199">
        <f t="shared" si="10"/>
        <v>615307.67787900008</v>
      </c>
      <c r="N17" s="199">
        <f t="shared" si="10"/>
        <v>0</v>
      </c>
      <c r="O17" s="200">
        <f t="shared" si="10"/>
        <v>0</v>
      </c>
      <c r="Q17" s="159">
        <f>+Q16+Q15+Q13</f>
        <v>192513.50953400001</v>
      </c>
      <c r="R17" s="160">
        <f t="shared" ref="R17:AH17" si="11">+R16+R15+R13</f>
        <v>179188.60058</v>
      </c>
      <c r="S17" s="160">
        <f t="shared" si="11"/>
        <v>187863.45219499999</v>
      </c>
      <c r="T17" s="161">
        <f t="shared" si="11"/>
        <v>185925.58335099998</v>
      </c>
      <c r="U17" s="160">
        <f t="shared" si="11"/>
        <v>184059.169494</v>
      </c>
      <c r="V17" s="162">
        <f t="shared" si="11"/>
        <v>197396.318313</v>
      </c>
      <c r="W17" s="161">
        <f t="shared" si="11"/>
        <v>191947.02213</v>
      </c>
      <c r="X17" s="160">
        <f t="shared" si="11"/>
        <v>185538.84781599999</v>
      </c>
      <c r="Y17" s="162">
        <f t="shared" si="11"/>
        <v>186420.065176</v>
      </c>
      <c r="Z17" s="160">
        <f t="shared" si="11"/>
        <v>184512.76302700001</v>
      </c>
      <c r="AA17" s="160">
        <f t="shared" si="11"/>
        <v>223944.932887</v>
      </c>
      <c r="AB17" s="163">
        <f t="shared" si="11"/>
        <v>229895.11716900003</v>
      </c>
      <c r="AC17" s="160">
        <f t="shared" si="11"/>
        <v>198225.82804400002</v>
      </c>
      <c r="AD17" s="160">
        <f t="shared" si="11"/>
        <v>195264.42014900001</v>
      </c>
      <c r="AE17" s="160">
        <f t="shared" si="11"/>
        <v>201874.073416</v>
      </c>
      <c r="AF17" s="161">
        <f t="shared" si="11"/>
        <v>200262.866121</v>
      </c>
      <c r="AG17" s="160">
        <f t="shared" si="11"/>
        <v>201268.256333</v>
      </c>
      <c r="AH17" s="162">
        <f t="shared" si="11"/>
        <v>213776.555425</v>
      </c>
      <c r="AI17" s="161"/>
      <c r="AJ17" s="160"/>
      <c r="AK17" s="162"/>
      <c r="AL17" s="160"/>
      <c r="AM17" s="160"/>
      <c r="AN17" s="163"/>
      <c r="AO17" s="115"/>
      <c r="AP17" s="115"/>
      <c r="AQ17" s="115"/>
      <c r="AR17" s="115"/>
      <c r="AS17" s="115"/>
      <c r="AT17" s="115"/>
      <c r="AU17" s="115"/>
      <c r="AV17" s="115"/>
      <c r="AW17" s="115"/>
    </row>
    <row r="19" spans="1:49">
      <c r="A19" s="115">
        <f t="shared" ref="A19:A21" si="12">+H19+I19</f>
        <v>11484.138075999999</v>
      </c>
      <c r="B19" s="115">
        <f t="shared" ref="B19:B21" si="13">+L19+M19</f>
        <v>19484.310196999999</v>
      </c>
      <c r="C19" s="164" t="s">
        <v>108</v>
      </c>
      <c r="D19" s="165"/>
      <c r="E19" s="165"/>
      <c r="F19" s="165"/>
      <c r="G19" s="165"/>
      <c r="H19" s="201">
        <f t="shared" ref="H19:N19" si="14">+H14</f>
        <v>5332.4040880000002</v>
      </c>
      <c r="I19" s="202">
        <f t="shared" si="14"/>
        <v>6151.733988</v>
      </c>
      <c r="J19" s="202">
        <f t="shared" si="14"/>
        <v>8179.6113109999988</v>
      </c>
      <c r="K19" s="203">
        <f t="shared" si="14"/>
        <v>8855.5614829999995</v>
      </c>
      <c r="L19" s="201">
        <f t="shared" si="14"/>
        <v>10952.734562</v>
      </c>
      <c r="M19" s="202">
        <f t="shared" si="14"/>
        <v>8531.5756350000011</v>
      </c>
      <c r="N19" s="202">
        <f t="shared" si="14"/>
        <v>0</v>
      </c>
      <c r="O19" s="203">
        <f>+O14</f>
        <v>0</v>
      </c>
      <c r="Q19" s="166">
        <f>+Q14</f>
        <v>1575.110318</v>
      </c>
      <c r="R19" s="167">
        <f t="shared" ref="R19:AH19" si="15">+R14</f>
        <v>1530.7435700000001</v>
      </c>
      <c r="S19" s="167">
        <f t="shared" si="15"/>
        <v>2226.5502000000001</v>
      </c>
      <c r="T19" s="168">
        <f t="shared" si="15"/>
        <v>1859.1213760000001</v>
      </c>
      <c r="U19" s="167">
        <f t="shared" si="15"/>
        <v>2005.592486</v>
      </c>
      <c r="V19" s="169">
        <f t="shared" si="15"/>
        <v>2287.0201259999999</v>
      </c>
      <c r="W19" s="168">
        <f t="shared" si="15"/>
        <v>2642.303105</v>
      </c>
      <c r="X19" s="167">
        <f t="shared" si="15"/>
        <v>2649.7982999999999</v>
      </c>
      <c r="Y19" s="169">
        <f t="shared" si="15"/>
        <v>2887.5099059999998</v>
      </c>
      <c r="Z19" s="167">
        <f t="shared" si="15"/>
        <v>2490.7084989999998</v>
      </c>
      <c r="AA19" s="167">
        <f t="shared" si="15"/>
        <v>2782.5952050000001</v>
      </c>
      <c r="AB19" s="170">
        <f t="shared" si="15"/>
        <v>3582.257779</v>
      </c>
      <c r="AC19" s="167">
        <f t="shared" si="15"/>
        <v>3405.6211579999999</v>
      </c>
      <c r="AD19" s="167">
        <f t="shared" si="15"/>
        <v>3900.9111419999999</v>
      </c>
      <c r="AE19" s="167">
        <f t="shared" si="15"/>
        <v>3646.2022619999998</v>
      </c>
      <c r="AF19" s="168">
        <f t="shared" si="15"/>
        <v>2630.1310039999998</v>
      </c>
      <c r="AG19" s="167">
        <f t="shared" si="15"/>
        <v>2515.390124</v>
      </c>
      <c r="AH19" s="169">
        <f t="shared" si="15"/>
        <v>3386.0545069999998</v>
      </c>
      <c r="AI19" s="168"/>
      <c r="AJ19" s="167"/>
      <c r="AK19" s="169"/>
      <c r="AL19" s="167"/>
      <c r="AM19" s="167"/>
      <c r="AN19" s="170"/>
      <c r="AO19" s="115"/>
      <c r="AP19" s="115"/>
      <c r="AQ19" s="115"/>
      <c r="AR19" s="115"/>
      <c r="AS19" s="115"/>
      <c r="AT19" s="115"/>
      <c r="AU19" s="115"/>
      <c r="AV19" s="115"/>
      <c r="AW19" s="115"/>
    </row>
    <row r="20" spans="1:49">
      <c r="A20" s="115">
        <f t="shared" si="12"/>
        <v>11335.451076000001</v>
      </c>
      <c r="B20" s="115">
        <f t="shared" si="13"/>
        <v>19361.913997000003</v>
      </c>
      <c r="C20" s="123"/>
      <c r="D20" s="131" t="s">
        <v>111</v>
      </c>
      <c r="E20" s="122"/>
      <c r="F20" s="122"/>
      <c r="G20" s="122"/>
      <c r="H20" s="204">
        <f t="shared" ref="H20:N20" si="16">+H23+H24</f>
        <v>5269.2613880000008</v>
      </c>
      <c r="I20" s="205">
        <f t="shared" si="16"/>
        <v>6066.1896879999995</v>
      </c>
      <c r="J20" s="205">
        <f t="shared" si="16"/>
        <v>8116.5510109999996</v>
      </c>
      <c r="K20" s="206">
        <f t="shared" si="16"/>
        <v>8809.1052830000008</v>
      </c>
      <c r="L20" s="204">
        <f t="shared" si="16"/>
        <v>10863.025362</v>
      </c>
      <c r="M20" s="205">
        <f t="shared" si="16"/>
        <v>8498.8886350000012</v>
      </c>
      <c r="N20" s="205">
        <f t="shared" si="16"/>
        <v>0</v>
      </c>
      <c r="O20" s="206">
        <f>+O23+O24</f>
        <v>0</v>
      </c>
      <c r="Q20" s="143">
        <f>+Q23+Q24</f>
        <v>1537.3995179999999</v>
      </c>
      <c r="R20" s="132">
        <f t="shared" ref="R20:AH20" si="17">+R23+R24</f>
        <v>1521.27817</v>
      </c>
      <c r="S20" s="132">
        <f t="shared" si="17"/>
        <v>2210.5837000000001</v>
      </c>
      <c r="T20" s="149">
        <f t="shared" si="17"/>
        <v>1834.901376</v>
      </c>
      <c r="U20" s="132">
        <f t="shared" si="17"/>
        <v>1968.822486</v>
      </c>
      <c r="V20" s="150">
        <f t="shared" si="17"/>
        <v>2262.4658259999997</v>
      </c>
      <c r="W20" s="149">
        <f t="shared" si="17"/>
        <v>2618.517805</v>
      </c>
      <c r="X20" s="132">
        <f t="shared" si="17"/>
        <v>2621.5499</v>
      </c>
      <c r="Y20" s="150">
        <f t="shared" si="17"/>
        <v>2876.4833059999996</v>
      </c>
      <c r="Z20" s="132">
        <f t="shared" si="17"/>
        <v>2470.988499</v>
      </c>
      <c r="AA20" s="132">
        <f t="shared" si="17"/>
        <v>2763.517805</v>
      </c>
      <c r="AB20" s="133">
        <f t="shared" si="17"/>
        <v>3574.5989789999999</v>
      </c>
      <c r="AC20" s="132">
        <f t="shared" si="17"/>
        <v>3370.2726580000003</v>
      </c>
      <c r="AD20" s="132">
        <f t="shared" si="17"/>
        <v>3860.9011420000002</v>
      </c>
      <c r="AE20" s="132">
        <f t="shared" si="17"/>
        <v>3631.8515620000003</v>
      </c>
      <c r="AF20" s="149">
        <f t="shared" si="17"/>
        <v>2616.2910040000002</v>
      </c>
      <c r="AG20" s="132">
        <f t="shared" si="17"/>
        <v>2505.125524</v>
      </c>
      <c r="AH20" s="150">
        <f t="shared" si="17"/>
        <v>3377.4721070000001</v>
      </c>
      <c r="AI20" s="149"/>
      <c r="AJ20" s="132"/>
      <c r="AK20" s="150"/>
      <c r="AL20" s="132"/>
      <c r="AM20" s="132"/>
      <c r="AN20" s="133"/>
      <c r="AO20" s="115"/>
      <c r="AP20" s="115"/>
      <c r="AQ20" s="115"/>
      <c r="AR20" s="115"/>
      <c r="AS20" s="115"/>
      <c r="AT20" s="115"/>
      <c r="AU20" s="115"/>
      <c r="AV20" s="115"/>
      <c r="AW20" s="115"/>
    </row>
    <row r="21" spans="1:49">
      <c r="A21" s="115">
        <f t="shared" si="12"/>
        <v>148.68700000000001</v>
      </c>
      <c r="B21" s="115">
        <f t="shared" si="13"/>
        <v>122.39619999999999</v>
      </c>
      <c r="C21" s="127"/>
      <c r="D21" s="127" t="s">
        <v>112</v>
      </c>
      <c r="E21" s="128"/>
      <c r="F21" s="128"/>
      <c r="G21" s="128"/>
      <c r="H21" s="207">
        <f t="shared" ref="H21:N21" si="18">+H25</f>
        <v>63.142700000000005</v>
      </c>
      <c r="I21" s="208">
        <f t="shared" si="18"/>
        <v>85.544300000000007</v>
      </c>
      <c r="J21" s="208">
        <f t="shared" si="18"/>
        <v>63.060299999999998</v>
      </c>
      <c r="K21" s="209">
        <f t="shared" si="18"/>
        <v>46.456199999999995</v>
      </c>
      <c r="L21" s="207">
        <f t="shared" si="18"/>
        <v>89.709199999999996</v>
      </c>
      <c r="M21" s="208">
        <f t="shared" si="18"/>
        <v>32.686999999999998</v>
      </c>
      <c r="N21" s="208">
        <f t="shared" si="18"/>
        <v>0</v>
      </c>
      <c r="O21" s="209">
        <f>+O25</f>
        <v>0</v>
      </c>
      <c r="Q21" s="146">
        <f>+Q25</f>
        <v>37.710799999999999</v>
      </c>
      <c r="R21" s="129">
        <f t="shared" ref="R21:AH21" si="19">+R25</f>
        <v>9.4654000000000007</v>
      </c>
      <c r="S21" s="129">
        <f t="shared" si="19"/>
        <v>15.9665</v>
      </c>
      <c r="T21" s="155">
        <f t="shared" si="19"/>
        <v>24.22</v>
      </c>
      <c r="U21" s="129">
        <f t="shared" si="19"/>
        <v>36.770000000000003</v>
      </c>
      <c r="V21" s="156">
        <f t="shared" si="19"/>
        <v>24.554300000000001</v>
      </c>
      <c r="W21" s="155">
        <f t="shared" si="19"/>
        <v>23.785299999999999</v>
      </c>
      <c r="X21" s="129">
        <f t="shared" si="19"/>
        <v>28.2484</v>
      </c>
      <c r="Y21" s="156">
        <f t="shared" si="19"/>
        <v>11.0266</v>
      </c>
      <c r="Z21" s="129">
        <f t="shared" si="19"/>
        <v>19.72</v>
      </c>
      <c r="AA21" s="129">
        <f t="shared" si="19"/>
        <v>19.077400000000001</v>
      </c>
      <c r="AB21" s="130">
        <f t="shared" si="19"/>
        <v>7.6588000000000003</v>
      </c>
      <c r="AC21" s="129">
        <f t="shared" si="19"/>
        <v>35.348500000000001</v>
      </c>
      <c r="AD21" s="129">
        <f t="shared" si="19"/>
        <v>40.01</v>
      </c>
      <c r="AE21" s="129">
        <f t="shared" si="19"/>
        <v>14.3507</v>
      </c>
      <c r="AF21" s="155">
        <f t="shared" si="19"/>
        <v>13.84</v>
      </c>
      <c r="AG21" s="129">
        <f t="shared" si="19"/>
        <v>10.2646</v>
      </c>
      <c r="AH21" s="156">
        <f t="shared" si="19"/>
        <v>8.5823999999999998</v>
      </c>
      <c r="AI21" s="155"/>
      <c r="AJ21" s="129"/>
      <c r="AK21" s="156"/>
      <c r="AL21" s="129"/>
      <c r="AM21" s="129"/>
      <c r="AN21" s="130"/>
      <c r="AO21" s="115"/>
      <c r="AP21" s="115"/>
      <c r="AQ21" s="115"/>
      <c r="AR21" s="115"/>
      <c r="AS21" s="115"/>
      <c r="AT21" s="115"/>
      <c r="AU21" s="115"/>
      <c r="AV21" s="115"/>
      <c r="AW21" s="115"/>
    </row>
    <row r="23" spans="1:49">
      <c r="C23" s="131"/>
      <c r="D23" s="122" t="s">
        <v>113</v>
      </c>
      <c r="E23" s="122"/>
      <c r="F23" s="122"/>
      <c r="G23" s="122"/>
      <c r="H23" s="204">
        <f t="shared" ref="H23:O25" si="20">+SUMIFS($Q23:$AN23,$Q$8:$AN$8,H$8,$Q$9:$AN$9,H$9)</f>
        <v>5209.3539500000006</v>
      </c>
      <c r="I23" s="205">
        <f t="shared" si="20"/>
        <v>6013.3136329999998</v>
      </c>
      <c r="J23" s="205">
        <f t="shared" si="20"/>
        <v>8062.1804039999997</v>
      </c>
      <c r="K23" s="206">
        <f t="shared" si="20"/>
        <v>8770.7595400000009</v>
      </c>
      <c r="L23" s="204">
        <f t="shared" si="20"/>
        <v>10810.304108</v>
      </c>
      <c r="M23" s="205">
        <f t="shared" si="20"/>
        <v>8445.3096810000006</v>
      </c>
      <c r="N23" s="205">
        <f t="shared" si="20"/>
        <v>0</v>
      </c>
      <c r="O23" s="206">
        <f t="shared" si="20"/>
        <v>0</v>
      </c>
      <c r="Q23" s="143">
        <f>+SUMIFS('R'!$G:$G,'R'!$B:$B,월별!Q$11,'R'!$F:$F,"Y",'R'!$E:$E,"10",'R'!$C:$C,월별!$D23)/1000000</f>
        <v>1515.649934</v>
      </c>
      <c r="R23" s="132">
        <f>+SUMIFS('R'!$G:$G,'R'!$B:$B,월별!R$11,'R'!$F:$F,"Y",'R'!$E:$E,"10",'R'!$C:$C,월별!$D23)/1000000</f>
        <v>1501.5420730000001</v>
      </c>
      <c r="S23" s="132">
        <f>+SUMIFS('R'!$G:$G,'R'!$B:$B,월별!S$11,'R'!$F:$F,"Y",'R'!$E:$E,"10",'R'!$C:$C,월별!$D23)/1000000</f>
        <v>2192.1619430000001</v>
      </c>
      <c r="T23" s="149">
        <f>+SUMIFS('R'!$G:$G,'R'!$B:$B,월별!T$11,'R'!$F:$F,"Y",'R'!$E:$E,"10",'R'!$C:$C,월별!$D23)/1000000</f>
        <v>1817.004226</v>
      </c>
      <c r="U23" s="132">
        <f>+SUMIFS('R'!$G:$G,'R'!$B:$B,월별!U$11,'R'!$F:$F,"Y",'R'!$E:$E,"10",'R'!$C:$C,월별!$D23)/1000000</f>
        <v>1951.357681</v>
      </c>
      <c r="V23" s="150">
        <f>+SUMIFS('R'!$G:$G,'R'!$B:$B,월별!V$11,'R'!$F:$F,"Y",'R'!$E:$E,"10",'R'!$C:$C,월별!$D23)/1000000</f>
        <v>2244.9517259999998</v>
      </c>
      <c r="W23" s="149">
        <f>+SUMIFS('R'!$G:$G,'R'!$B:$B,월별!W$11,'R'!$F:$F,"Y",'R'!$E:$E,"10",'R'!$C:$C,월별!$D23)/1000000</f>
        <v>2597.5210889999998</v>
      </c>
      <c r="X23" s="132">
        <f>+SUMIFS('R'!$G:$G,'R'!$B:$B,월별!X$11,'R'!$F:$F,"Y",'R'!$E:$E,"10",'R'!$C:$C,월별!$D23)/1000000</f>
        <v>2605.924379</v>
      </c>
      <c r="Y23" s="150">
        <f>+SUMIFS('R'!$G:$G,'R'!$B:$B,월별!Y$11,'R'!$F:$F,"Y",'R'!$E:$E,"10",'R'!$C:$C,월별!$D23)/1000000</f>
        <v>2858.7349359999998</v>
      </c>
      <c r="Z23" s="132">
        <f>+SUMIFS('R'!$G:$G,'R'!$B:$B,월별!Z$11,'R'!$F:$F,"Y",'R'!$E:$E,"10",'R'!$C:$C,월별!$D23)/1000000</f>
        <v>2464.1298999999999</v>
      </c>
      <c r="AA23" s="132">
        <f>+SUMIFS('R'!$G:$G,'R'!$B:$B,월별!AA$11,'R'!$F:$F,"Y",'R'!$E:$E,"10",'R'!$C:$C,월별!$D23)/1000000</f>
        <v>2746.160824</v>
      </c>
      <c r="AB23" s="133">
        <f>+SUMIFS('R'!$G:$G,'R'!$B:$B,월별!AB$11,'R'!$F:$F,"Y",'R'!$E:$E,"10",'R'!$C:$C,월별!$D23)/1000000</f>
        <v>3560.4688160000001</v>
      </c>
      <c r="AC23" s="132">
        <f>+SUMIFS('R'!$G:$G,'R'!$B:$B,월별!AC$11,'R'!$F:$F,"Y",'R'!$E:$E,"10",'R'!$C:$C,월별!$D23)/1000000</f>
        <v>3352.8674850000002</v>
      </c>
      <c r="AD23" s="132">
        <f>+SUMIFS('R'!$G:$G,'R'!$B:$B,월별!AD$11,'R'!$F:$F,"Y",'R'!$E:$E,"10",'R'!$C:$C,월별!$D23)/1000000</f>
        <v>3846.893114</v>
      </c>
      <c r="AE23" s="132">
        <f>+SUMIFS('R'!$G:$G,'R'!$B:$B,월별!AE$11,'R'!$F:$F,"Y",'R'!$E:$E,"10",'R'!$C:$C,월별!$D23)/1000000</f>
        <v>3610.5435090000001</v>
      </c>
      <c r="AF23" s="149">
        <f>+SUMIFS('R'!$G:$G,'R'!$B:$B,월별!AF$11,'R'!$F:$F,"Y",'R'!$E:$E,"10",'R'!$C:$C,월별!$D23)/1000000</f>
        <v>2596.938251</v>
      </c>
      <c r="AG23" s="132">
        <f>+SUMIFS('R'!$G:$G,'R'!$B:$B,월별!AG$11,'R'!$F:$F,"Y",'R'!$E:$E,"10",'R'!$C:$C,월별!$D23)/1000000</f>
        <v>2483.7783899999999</v>
      </c>
      <c r="AH23" s="150">
        <f>+SUMIFS('R'!$G:$G,'R'!$B:$B,월별!AH$11,'R'!$F:$F,"Y",'R'!$E:$E,"10",'R'!$C:$C,월별!$D23)/1000000</f>
        <v>3364.5930400000002</v>
      </c>
      <c r="AI23" s="149"/>
      <c r="AJ23" s="132"/>
      <c r="AK23" s="150"/>
      <c r="AL23" s="132"/>
      <c r="AM23" s="132"/>
      <c r="AN23" s="133"/>
      <c r="AO23" s="115"/>
      <c r="AP23" s="115"/>
      <c r="AQ23" s="115"/>
      <c r="AR23" s="115"/>
      <c r="AS23" s="115"/>
      <c r="AT23" s="115"/>
      <c r="AU23" s="115"/>
      <c r="AV23" s="115"/>
      <c r="AW23" s="115"/>
    </row>
    <row r="24" spans="1:49">
      <c r="C24" s="123"/>
      <c r="D24" s="124" t="s">
        <v>110</v>
      </c>
      <c r="E24" s="124"/>
      <c r="F24" s="124"/>
      <c r="G24" s="124"/>
      <c r="H24" s="192">
        <f t="shared" si="20"/>
        <v>59.907437999999999</v>
      </c>
      <c r="I24" s="193">
        <f t="shared" si="20"/>
        <v>52.876054999999994</v>
      </c>
      <c r="J24" s="193">
        <f t="shared" si="20"/>
        <v>54.370607</v>
      </c>
      <c r="K24" s="194">
        <f t="shared" si="20"/>
        <v>38.345742999999999</v>
      </c>
      <c r="L24" s="192">
        <f t="shared" si="20"/>
        <v>52.721254000000002</v>
      </c>
      <c r="M24" s="193">
        <f t="shared" si="20"/>
        <v>53.578954000000003</v>
      </c>
      <c r="N24" s="193">
        <f t="shared" si="20"/>
        <v>0</v>
      </c>
      <c r="O24" s="194">
        <f t="shared" si="20"/>
        <v>0</v>
      </c>
      <c r="Q24" s="144">
        <f>+SUMIFS('R'!$G:$G,'R'!$B:$B,월별!Q$11,'R'!$F:$F,"Y",'R'!$E:$E,"10",'R'!$C:$C,월별!$D24)/1000000</f>
        <v>21.749583999999999</v>
      </c>
      <c r="R24" s="125">
        <f>+SUMIFS('R'!$G:$G,'R'!$B:$B,월별!R$11,'R'!$F:$F,"Y",'R'!$E:$E,"10",'R'!$C:$C,월별!$D24)/1000000</f>
        <v>19.736097000000001</v>
      </c>
      <c r="S24" s="125">
        <f>+SUMIFS('R'!$G:$G,'R'!$B:$B,월별!S$11,'R'!$F:$F,"Y",'R'!$E:$E,"10",'R'!$C:$C,월별!$D24)/1000000</f>
        <v>18.421756999999999</v>
      </c>
      <c r="T24" s="151">
        <f>+SUMIFS('R'!$G:$G,'R'!$B:$B,월별!T$11,'R'!$F:$F,"Y",'R'!$E:$E,"10",'R'!$C:$C,월별!$D24)/1000000</f>
        <v>17.89715</v>
      </c>
      <c r="U24" s="125">
        <f>+SUMIFS('R'!$G:$G,'R'!$B:$B,월별!U$11,'R'!$F:$F,"Y",'R'!$E:$E,"10",'R'!$C:$C,월별!$D24)/1000000</f>
        <v>17.464804999999998</v>
      </c>
      <c r="V24" s="152">
        <f>+SUMIFS('R'!$G:$G,'R'!$B:$B,월별!V$11,'R'!$F:$F,"Y",'R'!$E:$E,"10",'R'!$C:$C,월별!$D24)/1000000</f>
        <v>17.514099999999999</v>
      </c>
      <c r="W24" s="151">
        <f>+SUMIFS('R'!$G:$G,'R'!$B:$B,월별!W$11,'R'!$F:$F,"Y",'R'!$E:$E,"10",'R'!$C:$C,월별!$D24)/1000000</f>
        <v>20.996715999999999</v>
      </c>
      <c r="X24" s="125">
        <f>+SUMIFS('R'!$G:$G,'R'!$B:$B,월별!X$11,'R'!$F:$F,"Y",'R'!$E:$E,"10",'R'!$C:$C,월별!$D24)/1000000</f>
        <v>15.625521000000001</v>
      </c>
      <c r="Y24" s="152">
        <f>+SUMIFS('R'!$G:$G,'R'!$B:$B,월별!Y$11,'R'!$F:$F,"Y",'R'!$E:$E,"10",'R'!$C:$C,월별!$D24)/1000000</f>
        <v>17.748370000000001</v>
      </c>
      <c r="Z24" s="125">
        <f>+SUMIFS('R'!$G:$G,'R'!$B:$B,월별!Z$11,'R'!$F:$F,"Y",'R'!$E:$E,"10",'R'!$C:$C,월별!$D24)/1000000</f>
        <v>6.8585989999999999</v>
      </c>
      <c r="AA24" s="125">
        <f>+SUMIFS('R'!$G:$G,'R'!$B:$B,월별!AA$11,'R'!$F:$F,"Y",'R'!$E:$E,"10",'R'!$C:$C,월별!$D24)/1000000</f>
        <v>17.356981000000001</v>
      </c>
      <c r="AB24" s="126">
        <f>+SUMIFS('R'!$G:$G,'R'!$B:$B,월별!AB$11,'R'!$F:$F,"Y",'R'!$E:$E,"10",'R'!$C:$C,월별!$D24)/1000000</f>
        <v>14.130163</v>
      </c>
      <c r="AC24" s="125">
        <f>+SUMIFS('R'!$G:$G,'R'!$B:$B,월별!AC$11,'R'!$F:$F,"Y",'R'!$E:$E,"10",'R'!$C:$C,월별!$D24)/1000000</f>
        <v>17.405173000000001</v>
      </c>
      <c r="AD24" s="125">
        <f>+SUMIFS('R'!$G:$G,'R'!$B:$B,월별!AD$11,'R'!$F:$F,"Y",'R'!$E:$E,"10",'R'!$C:$C,월별!$D24)/1000000</f>
        <v>14.008027999999999</v>
      </c>
      <c r="AE24" s="125">
        <f>+SUMIFS('R'!$G:$G,'R'!$B:$B,월별!AE$11,'R'!$F:$F,"Y",'R'!$E:$E,"10",'R'!$C:$C,월별!$D24)/1000000</f>
        <v>21.308053000000001</v>
      </c>
      <c r="AF24" s="151">
        <f>+SUMIFS('R'!$G:$G,'R'!$B:$B,월별!AF$11,'R'!$F:$F,"Y",'R'!$E:$E,"10",'R'!$C:$C,월별!$D24)/1000000</f>
        <v>19.352753</v>
      </c>
      <c r="AG24" s="125">
        <f>+SUMIFS('R'!$G:$G,'R'!$B:$B,월별!AG$11,'R'!$F:$F,"Y",'R'!$E:$E,"10",'R'!$C:$C,월별!$D24)/1000000</f>
        <v>21.347134</v>
      </c>
      <c r="AH24" s="152">
        <f>+SUMIFS('R'!$G:$G,'R'!$B:$B,월별!AH$11,'R'!$F:$F,"Y",'R'!$E:$E,"10",'R'!$C:$C,월별!$D24)/1000000</f>
        <v>12.879066999999999</v>
      </c>
      <c r="AI24" s="151"/>
      <c r="AJ24" s="125"/>
      <c r="AK24" s="152"/>
      <c r="AL24" s="125"/>
      <c r="AM24" s="125"/>
      <c r="AN24" s="126"/>
      <c r="AO24" s="115"/>
      <c r="AP24" s="115"/>
      <c r="AQ24" s="115"/>
      <c r="AR24" s="115"/>
      <c r="AS24" s="115"/>
      <c r="AT24" s="115"/>
      <c r="AU24" s="115"/>
      <c r="AV24" s="115"/>
      <c r="AW24" s="115"/>
    </row>
    <row r="25" spans="1:49">
      <c r="C25" s="127"/>
      <c r="D25" s="128" t="s">
        <v>115</v>
      </c>
      <c r="E25" s="128"/>
      <c r="F25" s="128"/>
      <c r="G25" s="128"/>
      <c r="H25" s="207">
        <f t="shared" si="20"/>
        <v>63.142700000000005</v>
      </c>
      <c r="I25" s="208">
        <f t="shared" si="20"/>
        <v>85.544300000000007</v>
      </c>
      <c r="J25" s="208">
        <f t="shared" si="20"/>
        <v>63.060299999999998</v>
      </c>
      <c r="K25" s="209">
        <f t="shared" si="20"/>
        <v>46.456199999999995</v>
      </c>
      <c r="L25" s="207">
        <f t="shared" si="20"/>
        <v>89.709199999999996</v>
      </c>
      <c r="M25" s="208">
        <f t="shared" si="20"/>
        <v>32.686999999999998</v>
      </c>
      <c r="N25" s="208">
        <f t="shared" si="20"/>
        <v>0</v>
      </c>
      <c r="O25" s="209">
        <f t="shared" si="20"/>
        <v>0</v>
      </c>
      <c r="Q25" s="146">
        <f>+SUMIFS('R'!$G:$G,'R'!$B:$B,월별!Q$11,'R'!$F:$F,"Y",'R'!$E:$E,"10",'R'!$C:$C,월별!$D25)/1000000</f>
        <v>37.710799999999999</v>
      </c>
      <c r="R25" s="129">
        <f>+SUMIFS('R'!$G:$G,'R'!$B:$B,월별!R$11,'R'!$F:$F,"Y",'R'!$E:$E,"10",'R'!$C:$C,월별!$D25)/1000000</f>
        <v>9.4654000000000007</v>
      </c>
      <c r="S25" s="129">
        <f>+SUMIFS('R'!$G:$G,'R'!$B:$B,월별!S$11,'R'!$F:$F,"Y",'R'!$E:$E,"10",'R'!$C:$C,월별!$D25)/1000000</f>
        <v>15.9665</v>
      </c>
      <c r="T25" s="155">
        <f>+SUMIFS('R'!$G:$G,'R'!$B:$B,월별!T$11,'R'!$F:$F,"Y",'R'!$E:$E,"10",'R'!$C:$C,월별!$D25)/1000000</f>
        <v>24.22</v>
      </c>
      <c r="U25" s="129">
        <f>+SUMIFS('R'!$G:$G,'R'!$B:$B,월별!U$11,'R'!$F:$F,"Y",'R'!$E:$E,"10",'R'!$C:$C,월별!$D25)/1000000</f>
        <v>36.770000000000003</v>
      </c>
      <c r="V25" s="156">
        <f>+SUMIFS('R'!$G:$G,'R'!$B:$B,월별!V$11,'R'!$F:$F,"Y",'R'!$E:$E,"10",'R'!$C:$C,월별!$D25)/1000000</f>
        <v>24.554300000000001</v>
      </c>
      <c r="W25" s="155">
        <f>+SUMIFS('R'!$G:$G,'R'!$B:$B,월별!W$11,'R'!$F:$F,"Y",'R'!$E:$E,"10",'R'!$C:$C,월별!$D25)/1000000</f>
        <v>23.785299999999999</v>
      </c>
      <c r="X25" s="129">
        <f>+SUMIFS('R'!$G:$G,'R'!$B:$B,월별!X$11,'R'!$F:$F,"Y",'R'!$E:$E,"10",'R'!$C:$C,월별!$D25)/1000000</f>
        <v>28.2484</v>
      </c>
      <c r="Y25" s="156">
        <f>+SUMIFS('R'!$G:$G,'R'!$B:$B,월별!Y$11,'R'!$F:$F,"Y",'R'!$E:$E,"10",'R'!$C:$C,월별!$D25)/1000000</f>
        <v>11.0266</v>
      </c>
      <c r="Z25" s="129">
        <f>+SUMIFS('R'!$G:$G,'R'!$B:$B,월별!Z$11,'R'!$F:$F,"Y",'R'!$E:$E,"10",'R'!$C:$C,월별!$D25)/1000000</f>
        <v>19.72</v>
      </c>
      <c r="AA25" s="129">
        <f>+SUMIFS('R'!$G:$G,'R'!$B:$B,월별!AA$11,'R'!$F:$F,"Y",'R'!$E:$E,"10",'R'!$C:$C,월별!$D25)/1000000</f>
        <v>19.077400000000001</v>
      </c>
      <c r="AB25" s="130">
        <f>+SUMIFS('R'!$G:$G,'R'!$B:$B,월별!AB$11,'R'!$F:$F,"Y",'R'!$E:$E,"10",'R'!$C:$C,월별!$D25)/1000000</f>
        <v>7.6588000000000003</v>
      </c>
      <c r="AC25" s="129">
        <f>+SUMIFS('R'!$G:$G,'R'!$B:$B,월별!AC$11,'R'!$F:$F,"Y",'R'!$E:$E,"10",'R'!$C:$C,월별!$D25)/1000000</f>
        <v>35.348500000000001</v>
      </c>
      <c r="AD25" s="129">
        <f>+SUMIFS('R'!$G:$G,'R'!$B:$B,월별!AD$11,'R'!$F:$F,"Y",'R'!$E:$E,"10",'R'!$C:$C,월별!$D25)/1000000</f>
        <v>40.01</v>
      </c>
      <c r="AE25" s="129">
        <f>+SUMIFS('R'!$G:$G,'R'!$B:$B,월별!AE$11,'R'!$F:$F,"Y",'R'!$E:$E,"10",'R'!$C:$C,월별!$D25)/1000000</f>
        <v>14.3507</v>
      </c>
      <c r="AF25" s="155">
        <f>+SUMIFS('R'!$G:$G,'R'!$B:$B,월별!AF$11,'R'!$F:$F,"Y",'R'!$E:$E,"10",'R'!$C:$C,월별!$D25)/1000000</f>
        <v>13.84</v>
      </c>
      <c r="AG25" s="129">
        <f>+SUMIFS('R'!$G:$G,'R'!$B:$B,월별!AG$11,'R'!$F:$F,"Y",'R'!$E:$E,"10",'R'!$C:$C,월별!$D25)/1000000</f>
        <v>10.2646</v>
      </c>
      <c r="AH25" s="156">
        <f>+SUMIFS('R'!$G:$G,'R'!$B:$B,월별!AH$11,'R'!$F:$F,"Y",'R'!$E:$E,"10",'R'!$C:$C,월별!$D25)/1000000</f>
        <v>8.5823999999999998</v>
      </c>
      <c r="AI25" s="155"/>
      <c r="AJ25" s="129"/>
      <c r="AK25" s="156"/>
      <c r="AL25" s="129"/>
      <c r="AM25" s="129"/>
      <c r="AN25" s="130"/>
      <c r="AO25" s="115"/>
      <c r="AP25" s="115"/>
      <c r="AQ25" s="115"/>
      <c r="AR25" s="115"/>
      <c r="AS25" s="115"/>
      <c r="AT25" s="115"/>
      <c r="AU25" s="115"/>
      <c r="AV25" s="115"/>
      <c r="AW25" s="115"/>
    </row>
    <row r="26" spans="1:49">
      <c r="Q26" s="115"/>
      <c r="R26" s="115"/>
      <c r="S26" s="115"/>
      <c r="T26" s="115"/>
      <c r="U26" s="115"/>
      <c r="V26" s="115"/>
      <c r="W26" s="115"/>
      <c r="X26" s="115"/>
      <c r="Y26" s="115"/>
      <c r="Z26" s="115"/>
      <c r="AA26" s="115"/>
      <c r="AB26" s="115"/>
      <c r="AC26" s="115"/>
      <c r="AD26" s="115"/>
      <c r="AE26" s="115"/>
      <c r="AF26" s="115"/>
      <c r="AG26" s="115"/>
      <c r="AH26" s="115"/>
      <c r="AI26" s="115"/>
      <c r="AJ26" s="115"/>
      <c r="AK26" s="115"/>
      <c r="AL26" s="115"/>
      <c r="AM26" s="115"/>
      <c r="AN26" s="115"/>
      <c r="AO26" s="115"/>
      <c r="AP26" s="115"/>
      <c r="AQ26" s="115"/>
      <c r="AR26" s="115"/>
      <c r="AS26" s="115"/>
      <c r="AT26" s="115"/>
      <c r="AU26" s="115"/>
      <c r="AV26" s="115"/>
      <c r="AW26" s="115"/>
    </row>
    <row r="27" spans="1:49">
      <c r="Q27" s="115"/>
      <c r="R27" s="115"/>
      <c r="S27" s="115"/>
      <c r="T27" s="115"/>
      <c r="U27" s="115"/>
      <c r="V27" s="115"/>
      <c r="W27" s="115"/>
      <c r="X27" s="115"/>
      <c r="Y27" s="115"/>
      <c r="Z27" s="115"/>
      <c r="AA27" s="115"/>
      <c r="AB27" s="115"/>
      <c r="AC27" s="115"/>
      <c r="AD27" s="115"/>
      <c r="AE27" s="115"/>
      <c r="AF27" s="115"/>
      <c r="AG27" s="115"/>
      <c r="AH27" s="115"/>
      <c r="AI27" s="115"/>
      <c r="AJ27" s="115"/>
      <c r="AK27" s="115"/>
      <c r="AL27" s="115"/>
      <c r="AM27" s="115"/>
      <c r="AN27" s="115"/>
      <c r="AO27" s="115"/>
      <c r="AP27" s="115"/>
      <c r="AQ27" s="115"/>
      <c r="AR27" s="115"/>
      <c r="AS27" s="115"/>
      <c r="AT27" s="115"/>
      <c r="AU27" s="115"/>
      <c r="AV27" s="115"/>
      <c r="AW27" s="115"/>
    </row>
    <row r="28" spans="1:49" ht="20.25">
      <c r="C28" s="210" t="s">
        <v>134</v>
      </c>
      <c r="Q28" s="115"/>
      <c r="R28" s="115"/>
      <c r="S28" s="115"/>
      <c r="T28" s="115"/>
      <c r="U28" s="115"/>
      <c r="V28" s="115"/>
      <c r="W28" s="115"/>
      <c r="X28" s="115"/>
      <c r="Y28" s="115"/>
      <c r="Z28" s="115"/>
      <c r="AA28" s="115"/>
      <c r="AB28" s="115"/>
      <c r="AC28" s="115"/>
      <c r="AD28" s="115"/>
      <c r="AE28" s="115"/>
      <c r="AF28" s="115"/>
      <c r="AG28" s="115"/>
      <c r="AH28" s="115"/>
      <c r="AI28" s="115"/>
      <c r="AJ28" s="115"/>
      <c r="AK28" s="115"/>
      <c r="AL28" s="115"/>
      <c r="AM28" s="115"/>
      <c r="AN28" s="115"/>
      <c r="AO28" s="115"/>
      <c r="AP28" s="115"/>
      <c r="AQ28" s="115"/>
      <c r="AR28" s="115"/>
      <c r="AS28" s="115"/>
      <c r="AT28" s="115"/>
      <c r="AU28" s="115"/>
      <c r="AV28" s="115"/>
      <c r="AW28" s="115"/>
    </row>
    <row r="29" spans="1:49">
      <c r="C29" s="479" t="s">
        <v>124</v>
      </c>
      <c r="D29" s="480"/>
      <c r="E29" s="480"/>
      <c r="F29" s="480"/>
      <c r="G29" s="481"/>
      <c r="H29" s="485">
        <v>2022</v>
      </c>
      <c r="I29" s="486"/>
      <c r="J29" s="486"/>
      <c r="K29" s="486"/>
      <c r="L29" s="485">
        <v>2023</v>
      </c>
      <c r="M29" s="486"/>
      <c r="N29" s="486"/>
      <c r="O29" s="487"/>
      <c r="Q29" s="142">
        <v>202201</v>
      </c>
      <c r="R29" s="140">
        <f>+Q29+1</f>
        <v>202202</v>
      </c>
      <c r="S29" s="140">
        <f t="shared" ref="S29" si="21">+R29+1</f>
        <v>202203</v>
      </c>
      <c r="T29" s="147">
        <f t="shared" ref="T29" si="22">+S29+1</f>
        <v>202204</v>
      </c>
      <c r="U29" s="140">
        <f t="shared" ref="U29" si="23">+T29+1</f>
        <v>202205</v>
      </c>
      <c r="V29" s="148">
        <f t="shared" ref="V29" si="24">+U29+1</f>
        <v>202206</v>
      </c>
      <c r="W29" s="147">
        <f t="shared" ref="W29" si="25">+V29+1</f>
        <v>202207</v>
      </c>
      <c r="X29" s="140">
        <f t="shared" ref="X29" si="26">+W29+1</f>
        <v>202208</v>
      </c>
      <c r="Y29" s="148">
        <f t="shared" ref="Y29" si="27">+X29+1</f>
        <v>202209</v>
      </c>
      <c r="Z29" s="140">
        <f t="shared" ref="Z29" si="28">+Y29+1</f>
        <v>202210</v>
      </c>
      <c r="AA29" s="140">
        <f t="shared" ref="AA29" si="29">+Z29+1</f>
        <v>202211</v>
      </c>
      <c r="AB29" s="141">
        <f t="shared" ref="AB29" si="30">+AA29+1</f>
        <v>202212</v>
      </c>
      <c r="AC29" s="140">
        <f>+Q29+100</f>
        <v>202301</v>
      </c>
      <c r="AD29" s="140">
        <f t="shared" ref="AD29" si="31">+R29+100</f>
        <v>202302</v>
      </c>
      <c r="AE29" s="140">
        <f t="shared" ref="AE29" si="32">+S29+100</f>
        <v>202303</v>
      </c>
      <c r="AF29" s="147">
        <f t="shared" ref="AF29" si="33">+T29+100</f>
        <v>202304</v>
      </c>
      <c r="AG29" s="140">
        <f t="shared" ref="AG29" si="34">+U29+100</f>
        <v>202305</v>
      </c>
      <c r="AH29" s="148">
        <f t="shared" ref="AH29" si="35">+V29+100</f>
        <v>202306</v>
      </c>
      <c r="AI29" s="147">
        <f t="shared" ref="AI29" si="36">+W29+100</f>
        <v>202307</v>
      </c>
      <c r="AJ29" s="140">
        <f t="shared" ref="AJ29" si="37">+X29+100</f>
        <v>202308</v>
      </c>
      <c r="AK29" s="148">
        <f t="shared" ref="AK29" si="38">+Y29+100</f>
        <v>202309</v>
      </c>
      <c r="AL29" s="140">
        <f t="shared" ref="AL29" si="39">+Z29+100</f>
        <v>202310</v>
      </c>
      <c r="AM29" s="140">
        <f t="shared" ref="AM29" si="40">+AA29+100</f>
        <v>202311</v>
      </c>
      <c r="AN29" s="141">
        <f t="shared" ref="AN29" si="41">+AB29+100</f>
        <v>202312</v>
      </c>
    </row>
    <row r="30" spans="1:49">
      <c r="C30" s="482"/>
      <c r="D30" s="483"/>
      <c r="E30" s="483"/>
      <c r="F30" s="483"/>
      <c r="G30" s="484"/>
      <c r="H30" s="186" t="s">
        <v>126</v>
      </c>
      <c r="I30" s="187" t="s">
        <v>127</v>
      </c>
      <c r="J30" s="187" t="s">
        <v>128</v>
      </c>
      <c r="K30" s="188" t="s">
        <v>129</v>
      </c>
      <c r="L30" s="186" t="s">
        <v>126</v>
      </c>
      <c r="M30" s="187" t="s">
        <v>127</v>
      </c>
      <c r="N30" s="187" t="s">
        <v>128</v>
      </c>
      <c r="O30" s="188" t="s">
        <v>129</v>
      </c>
      <c r="Q30" s="142"/>
      <c r="R30" s="140"/>
      <c r="S30" s="140"/>
      <c r="T30" s="147"/>
      <c r="U30" s="140"/>
      <c r="V30" s="148"/>
      <c r="W30" s="147"/>
      <c r="X30" s="140"/>
      <c r="Y30" s="148"/>
      <c r="Z30" s="140"/>
      <c r="AA30" s="140"/>
      <c r="AB30" s="141"/>
      <c r="AC30" s="140"/>
      <c r="AD30" s="140"/>
      <c r="AE30" s="140"/>
      <c r="AF30" s="147"/>
      <c r="AG30" s="140"/>
      <c r="AH30" s="148"/>
      <c r="AI30" s="147"/>
      <c r="AJ30" s="140"/>
      <c r="AK30" s="148"/>
      <c r="AL30" s="140"/>
      <c r="AM30" s="140"/>
      <c r="AN30" s="141"/>
    </row>
    <row r="31" spans="1:49">
      <c r="A31" s="115">
        <f>+H31+I31</f>
        <v>100443.95738268201</v>
      </c>
      <c r="B31" s="115">
        <f>+L31+M31</f>
        <v>102897.62310234472</v>
      </c>
      <c r="C31" s="164" t="s">
        <v>135</v>
      </c>
      <c r="D31" s="165"/>
      <c r="E31" s="165"/>
      <c r="F31" s="165"/>
      <c r="G31" s="165"/>
      <c r="H31" s="201">
        <f t="shared" ref="H31:O31" si="42">+SUMIFS($Q31:$AN31,$Q$8:$AN$8,H$8,$Q$9:$AN$9,H$9)</f>
        <v>54391.681661824659</v>
      </c>
      <c r="I31" s="202">
        <f t="shared" si="42"/>
        <v>46052.275720857346</v>
      </c>
      <c r="J31" s="202">
        <f t="shared" si="42"/>
        <v>52444.334520315489</v>
      </c>
      <c r="K31" s="203">
        <f t="shared" si="42"/>
        <v>17044.780913844435</v>
      </c>
      <c r="L31" s="201">
        <f t="shared" si="42"/>
        <v>46982.710339918427</v>
      </c>
      <c r="M31" s="202">
        <f t="shared" si="42"/>
        <v>55914.912762426291</v>
      </c>
      <c r="N31" s="202">
        <f t="shared" si="42"/>
        <v>0</v>
      </c>
      <c r="O31" s="203">
        <f t="shared" si="42"/>
        <v>0</v>
      </c>
      <c r="Q31" s="166">
        <f>+Q32+Q48+Q56</f>
        <v>0</v>
      </c>
      <c r="R31" s="167">
        <f t="shared" ref="R31:AN31" si="43">+R32+R48+R56</f>
        <v>0</v>
      </c>
      <c r="S31" s="167">
        <f t="shared" si="43"/>
        <v>54391.681661824659</v>
      </c>
      <c r="T31" s="168">
        <f t="shared" si="43"/>
        <v>0</v>
      </c>
      <c r="U31" s="167">
        <f t="shared" si="43"/>
        <v>0</v>
      </c>
      <c r="V31" s="169">
        <f t="shared" si="43"/>
        <v>46052.275720857346</v>
      </c>
      <c r="W31" s="168">
        <f t="shared" si="43"/>
        <v>0</v>
      </c>
      <c r="X31" s="167">
        <f t="shared" si="43"/>
        <v>0</v>
      </c>
      <c r="Y31" s="169">
        <f t="shared" si="43"/>
        <v>52444.334520315489</v>
      </c>
      <c r="Z31" s="167">
        <f t="shared" si="43"/>
        <v>0</v>
      </c>
      <c r="AA31" s="167">
        <f t="shared" si="43"/>
        <v>0</v>
      </c>
      <c r="AB31" s="170">
        <f t="shared" si="43"/>
        <v>17044.780913844435</v>
      </c>
      <c r="AC31" s="167">
        <f t="shared" si="43"/>
        <v>4053.9241202357762</v>
      </c>
      <c r="AD31" s="167">
        <f t="shared" si="43"/>
        <v>15237.686420572365</v>
      </c>
      <c r="AE31" s="167">
        <f t="shared" si="43"/>
        <v>27691.099799110285</v>
      </c>
      <c r="AF31" s="168">
        <f t="shared" si="43"/>
        <v>9731.1992600114445</v>
      </c>
      <c r="AG31" s="167">
        <f t="shared" si="43"/>
        <v>21739.802121101999</v>
      </c>
      <c r="AH31" s="169">
        <f t="shared" si="43"/>
        <v>24443.911381312846</v>
      </c>
      <c r="AI31" s="168">
        <f t="shared" si="43"/>
        <v>0</v>
      </c>
      <c r="AJ31" s="167">
        <f t="shared" si="43"/>
        <v>0</v>
      </c>
      <c r="AK31" s="169">
        <f t="shared" si="43"/>
        <v>0</v>
      </c>
      <c r="AL31" s="167">
        <f t="shared" si="43"/>
        <v>0</v>
      </c>
      <c r="AM31" s="167">
        <f t="shared" si="43"/>
        <v>0</v>
      </c>
      <c r="AN31" s="170">
        <f t="shared" si="43"/>
        <v>0</v>
      </c>
      <c r="AO31" s="115"/>
      <c r="AP31" s="115"/>
      <c r="AQ31" s="115"/>
      <c r="AR31" s="115"/>
      <c r="AS31" s="115"/>
      <c r="AT31" s="115"/>
      <c r="AU31" s="115"/>
      <c r="AV31" s="115"/>
      <c r="AW31" s="115"/>
    </row>
    <row r="32" spans="1:49">
      <c r="A32" s="115">
        <f t="shared" ref="A32:A74" si="44">+H32+I32</f>
        <v>95741.192203682003</v>
      </c>
      <c r="B32" s="115">
        <f t="shared" ref="B32:B74" si="45">+L32+M32</f>
        <v>96028.399764344722</v>
      </c>
      <c r="C32" s="123"/>
      <c r="D32" s="171" t="s">
        <v>136</v>
      </c>
      <c r="E32" s="172"/>
      <c r="F32" s="172"/>
      <c r="G32" s="172"/>
      <c r="H32" s="189">
        <f t="shared" ref="H32:O63" si="46">+SUMIFS($Q32:$AN32,$Q$8:$AN$8,H$8,$Q$9:$AN$9,H$9)</f>
        <v>49791.875385824649</v>
      </c>
      <c r="I32" s="190">
        <f t="shared" si="46"/>
        <v>45949.316817857347</v>
      </c>
      <c r="J32" s="190">
        <f t="shared" si="46"/>
        <v>51697.279511315493</v>
      </c>
      <c r="K32" s="191">
        <f t="shared" si="46"/>
        <v>36904.995366844429</v>
      </c>
      <c r="L32" s="189">
        <f t="shared" si="46"/>
        <v>41589.77093691843</v>
      </c>
      <c r="M32" s="190">
        <f t="shared" si="46"/>
        <v>54438.628827426292</v>
      </c>
      <c r="N32" s="190">
        <f t="shared" si="46"/>
        <v>0</v>
      </c>
      <c r="O32" s="191">
        <f t="shared" si="46"/>
        <v>0</v>
      </c>
      <c r="Q32" s="228">
        <f>+Q33+Q34+Q35+Q43-Q44</f>
        <v>0</v>
      </c>
      <c r="R32" s="229">
        <f t="shared" ref="R32:AN32" si="47">+R33+R34+R35+R43-R44</f>
        <v>0</v>
      </c>
      <c r="S32" s="229">
        <f t="shared" si="47"/>
        <v>49791.875385824649</v>
      </c>
      <c r="T32" s="230">
        <f t="shared" si="47"/>
        <v>0</v>
      </c>
      <c r="U32" s="229">
        <f t="shared" si="47"/>
        <v>0</v>
      </c>
      <c r="V32" s="231">
        <f t="shared" si="47"/>
        <v>45949.316817857347</v>
      </c>
      <c r="W32" s="230">
        <f t="shared" si="47"/>
        <v>0</v>
      </c>
      <c r="X32" s="229">
        <f t="shared" si="47"/>
        <v>0</v>
      </c>
      <c r="Y32" s="231">
        <f t="shared" si="47"/>
        <v>51697.279511315493</v>
      </c>
      <c r="Z32" s="229">
        <f t="shared" si="47"/>
        <v>0</v>
      </c>
      <c r="AA32" s="229">
        <f t="shared" si="47"/>
        <v>0</v>
      </c>
      <c r="AB32" s="232">
        <f t="shared" si="47"/>
        <v>36904.995366844429</v>
      </c>
      <c r="AC32" s="229">
        <f t="shared" si="47"/>
        <v>4772.4896672357718</v>
      </c>
      <c r="AD32" s="229">
        <f t="shared" si="47"/>
        <v>11376.804835572368</v>
      </c>
      <c r="AE32" s="229">
        <f t="shared" si="47"/>
        <v>25440.476434110293</v>
      </c>
      <c r="AF32" s="230">
        <f t="shared" si="47"/>
        <v>15664.54764501144</v>
      </c>
      <c r="AG32" s="229">
        <f t="shared" si="47"/>
        <v>18788.727235102004</v>
      </c>
      <c r="AH32" s="231">
        <f t="shared" si="47"/>
        <v>19985.353947312848</v>
      </c>
      <c r="AI32" s="230">
        <f t="shared" si="47"/>
        <v>0</v>
      </c>
      <c r="AJ32" s="229">
        <f t="shared" si="47"/>
        <v>0</v>
      </c>
      <c r="AK32" s="231">
        <f t="shared" si="47"/>
        <v>0</v>
      </c>
      <c r="AL32" s="229">
        <f t="shared" si="47"/>
        <v>0</v>
      </c>
      <c r="AM32" s="229">
        <f t="shared" si="47"/>
        <v>0</v>
      </c>
      <c r="AN32" s="232">
        <f t="shared" si="47"/>
        <v>0</v>
      </c>
      <c r="AO32" s="115"/>
      <c r="AP32" s="115"/>
      <c r="AQ32" s="115"/>
      <c r="AR32" s="115"/>
      <c r="AS32" s="115"/>
      <c r="AT32" s="115"/>
      <c r="AU32" s="115"/>
      <c r="AV32" s="115"/>
      <c r="AW32" s="115"/>
    </row>
    <row r="33" spans="1:49">
      <c r="A33" s="115">
        <f t="shared" si="44"/>
        <v>76922.171678999992</v>
      </c>
      <c r="B33" s="115">
        <f t="shared" si="45"/>
        <v>84339.230233000009</v>
      </c>
      <c r="C33" s="123"/>
      <c r="D33" s="123"/>
      <c r="E33" s="131" t="s">
        <v>137</v>
      </c>
      <c r="F33" s="122"/>
      <c r="G33" s="122"/>
      <c r="H33" s="204">
        <f t="shared" si="46"/>
        <v>37601.170355000002</v>
      </c>
      <c r="I33" s="205">
        <f t="shared" si="46"/>
        <v>39321.001323999997</v>
      </c>
      <c r="J33" s="205">
        <f t="shared" si="46"/>
        <v>40752.41737499999</v>
      </c>
      <c r="K33" s="206">
        <f t="shared" si="46"/>
        <v>39788.390320000006</v>
      </c>
      <c r="L33" s="204">
        <f t="shared" si="46"/>
        <v>41025.947702000005</v>
      </c>
      <c r="M33" s="205">
        <f t="shared" si="46"/>
        <v>43313.282531000004</v>
      </c>
      <c r="N33" s="205">
        <f t="shared" si="46"/>
        <v>0</v>
      </c>
      <c r="O33" s="206">
        <f t="shared" si="46"/>
        <v>0</v>
      </c>
      <c r="Q33" s="144"/>
      <c r="R33" s="125"/>
      <c r="S33" s="125">
        <f>+'[2]실적(당월)'!O89</f>
        <v>37601.170355000002</v>
      </c>
      <c r="T33" s="151"/>
      <c r="U33" s="125"/>
      <c r="V33" s="152">
        <f>+'[2]실적(당월)'!P89</f>
        <v>39321.001323999997</v>
      </c>
      <c r="W33" s="151"/>
      <c r="X33" s="125"/>
      <c r="Y33" s="152">
        <f>+'[2]실적(당월)'!Q89</f>
        <v>40752.41737499999</v>
      </c>
      <c r="Z33" s="125"/>
      <c r="AA33" s="125"/>
      <c r="AB33" s="126">
        <f>+'[2]실적(당월)'!R89</f>
        <v>39788.390320000006</v>
      </c>
      <c r="AC33" s="125">
        <f>+'[2]실적(당월)'!S89</f>
        <v>13344.976753000001</v>
      </c>
      <c r="AD33" s="125">
        <f>+'[2]실적(당월)'!T89</f>
        <v>13623.057298</v>
      </c>
      <c r="AE33" s="125">
        <f>+'[2]실적(당월)'!U89</f>
        <v>14057.913651000001</v>
      </c>
      <c r="AF33" s="151">
        <f>+'[2]실적(당월)'!V89</f>
        <v>14342.513304999995</v>
      </c>
      <c r="AG33" s="125">
        <f>+'[2]실적(당월)'!W89</f>
        <v>14161.913640000001</v>
      </c>
      <c r="AH33" s="152">
        <f>+'[2]실적(당월)'!X89</f>
        <v>14808.855586000005</v>
      </c>
      <c r="AI33" s="151"/>
      <c r="AJ33" s="125"/>
      <c r="AK33" s="152"/>
      <c r="AL33" s="125"/>
      <c r="AM33" s="125"/>
      <c r="AN33" s="126"/>
      <c r="AO33" s="115"/>
      <c r="AP33" s="115"/>
      <c r="AQ33" s="115"/>
      <c r="AR33" s="115"/>
      <c r="AS33" s="115"/>
      <c r="AT33" s="115"/>
      <c r="AU33" s="115"/>
      <c r="AV33" s="115"/>
      <c r="AW33" s="115"/>
    </row>
    <row r="34" spans="1:49">
      <c r="A34" s="115">
        <f t="shared" si="44"/>
        <v>11306.412991000001</v>
      </c>
      <c r="B34" s="115">
        <f t="shared" si="45"/>
        <v>9487.5947259999994</v>
      </c>
      <c r="C34" s="123"/>
      <c r="D34" s="123"/>
      <c r="E34" s="123" t="s">
        <v>138</v>
      </c>
      <c r="F34" s="124"/>
      <c r="G34" s="124"/>
      <c r="H34" s="192">
        <f t="shared" si="46"/>
        <v>5479.4238420000001</v>
      </c>
      <c r="I34" s="193">
        <f t="shared" si="46"/>
        <v>5826.9891490000009</v>
      </c>
      <c r="J34" s="193">
        <f t="shared" si="46"/>
        <v>5719.1426669999983</v>
      </c>
      <c r="K34" s="194">
        <f t="shared" si="46"/>
        <v>5217.3595160000023</v>
      </c>
      <c r="L34" s="192">
        <f t="shared" si="46"/>
        <v>4627.1133229999996</v>
      </c>
      <c r="M34" s="193">
        <f t="shared" si="46"/>
        <v>4860.4814030000007</v>
      </c>
      <c r="N34" s="193">
        <f t="shared" si="46"/>
        <v>0</v>
      </c>
      <c r="O34" s="194">
        <f t="shared" si="46"/>
        <v>0</v>
      </c>
      <c r="Q34" s="144"/>
      <c r="R34" s="125"/>
      <c r="S34" s="125">
        <f>+'[2]실적(당월)'!O93</f>
        <v>5479.4238420000001</v>
      </c>
      <c r="T34" s="151"/>
      <c r="U34" s="125"/>
      <c r="V34" s="152">
        <f>+'[2]실적(당월)'!P93</f>
        <v>5826.9891490000009</v>
      </c>
      <c r="W34" s="151"/>
      <c r="X34" s="125"/>
      <c r="Y34" s="152">
        <f>+'[2]실적(당월)'!Q93</f>
        <v>5719.1426669999983</v>
      </c>
      <c r="Z34" s="125"/>
      <c r="AA34" s="125"/>
      <c r="AB34" s="126">
        <f>+'[2]실적(당월)'!R93</f>
        <v>5217.3595160000023</v>
      </c>
      <c r="AC34" s="125">
        <f>+'[2]실적(당월)'!S93</f>
        <v>1736.7650449999999</v>
      </c>
      <c r="AD34" s="125">
        <f>+'[2]실적(당월)'!T93</f>
        <v>1461.1722</v>
      </c>
      <c r="AE34" s="125">
        <f>+'[2]실적(당월)'!U93</f>
        <v>1429.1760779999997</v>
      </c>
      <c r="AF34" s="151">
        <f>+'[2]실적(당월)'!V93</f>
        <v>1793.1390159999999</v>
      </c>
      <c r="AG34" s="125">
        <f>+'[2]실적(당월)'!W93</f>
        <v>1523.9464530000007</v>
      </c>
      <c r="AH34" s="152">
        <f>+'[2]실적(당월)'!X93</f>
        <v>1543.3959340000001</v>
      </c>
      <c r="AI34" s="151"/>
      <c r="AJ34" s="125"/>
      <c r="AK34" s="152"/>
      <c r="AL34" s="125"/>
      <c r="AM34" s="125"/>
      <c r="AN34" s="126"/>
      <c r="AO34" s="115"/>
      <c r="AP34" s="115"/>
      <c r="AQ34" s="115"/>
      <c r="AR34" s="115"/>
      <c r="AS34" s="115"/>
      <c r="AT34" s="115"/>
      <c r="AU34" s="115"/>
      <c r="AV34" s="115"/>
      <c r="AW34" s="115"/>
    </row>
    <row r="35" spans="1:49">
      <c r="A35" s="115">
        <f t="shared" si="44"/>
        <v>28876.827272681989</v>
      </c>
      <c r="B35" s="115">
        <f t="shared" si="45"/>
        <v>27828.749485344717</v>
      </c>
      <c r="C35" s="123"/>
      <c r="D35" s="123"/>
      <c r="E35" s="123" t="s">
        <v>139</v>
      </c>
      <c r="F35" s="124"/>
      <c r="G35" s="124"/>
      <c r="H35" s="192">
        <f t="shared" si="46"/>
        <v>14712.921468824641</v>
      </c>
      <c r="I35" s="193">
        <f t="shared" si="46"/>
        <v>14163.905803857348</v>
      </c>
      <c r="J35" s="193">
        <f t="shared" si="46"/>
        <v>14028.034188315505</v>
      </c>
      <c r="K35" s="194">
        <f t="shared" si="46"/>
        <v>62.359129844414383</v>
      </c>
      <c r="L35" s="192">
        <f t="shared" si="46"/>
        <v>9728.6503289184293</v>
      </c>
      <c r="M35" s="193">
        <f t="shared" si="46"/>
        <v>18100.099156426288</v>
      </c>
      <c r="N35" s="193">
        <f t="shared" si="46"/>
        <v>0</v>
      </c>
      <c r="O35" s="194">
        <f t="shared" si="46"/>
        <v>0</v>
      </c>
      <c r="Q35" s="144">
        <f>+Q36+Q39</f>
        <v>0</v>
      </c>
      <c r="R35" s="125">
        <f t="shared" ref="R35:AN35" si="48">+R36+R39</f>
        <v>0</v>
      </c>
      <c r="S35" s="125">
        <f t="shared" si="48"/>
        <v>14712.921468824641</v>
      </c>
      <c r="T35" s="151">
        <f t="shared" si="48"/>
        <v>0</v>
      </c>
      <c r="U35" s="125">
        <f t="shared" si="48"/>
        <v>0</v>
      </c>
      <c r="V35" s="152">
        <f t="shared" si="48"/>
        <v>14163.905803857348</v>
      </c>
      <c r="W35" s="151">
        <f t="shared" si="48"/>
        <v>0</v>
      </c>
      <c r="X35" s="125">
        <f t="shared" si="48"/>
        <v>0</v>
      </c>
      <c r="Y35" s="152">
        <f t="shared" si="48"/>
        <v>14028.034188315505</v>
      </c>
      <c r="Z35" s="125">
        <f t="shared" si="48"/>
        <v>0</v>
      </c>
      <c r="AA35" s="125">
        <f t="shared" si="48"/>
        <v>0</v>
      </c>
      <c r="AB35" s="126">
        <f t="shared" si="48"/>
        <v>62.359129844414383</v>
      </c>
      <c r="AC35" s="125">
        <f t="shared" si="48"/>
        <v>1193.9235362357726</v>
      </c>
      <c r="AD35" s="125">
        <f t="shared" ref="AD35" si="49">+AD36+AD39</f>
        <v>417.48729957236475</v>
      </c>
      <c r="AE35" s="125">
        <f t="shared" ref="AE35" si="50">+AE36+AE39</f>
        <v>8117.2394931102917</v>
      </c>
      <c r="AF35" s="151">
        <f t="shared" ref="AF35" si="51">+AF36+AF39</f>
        <v>6621.0634140114489</v>
      </c>
      <c r="AG35" s="125">
        <f t="shared" ref="AG35" si="52">+AG36+AG39</f>
        <v>4980.2545831020079</v>
      </c>
      <c r="AH35" s="152">
        <f t="shared" ref="AH35" si="53">+AH36+AH39</f>
        <v>6498.7811593128317</v>
      </c>
      <c r="AI35" s="151">
        <f t="shared" si="48"/>
        <v>0</v>
      </c>
      <c r="AJ35" s="125">
        <f t="shared" si="48"/>
        <v>0</v>
      </c>
      <c r="AK35" s="152">
        <f t="shared" si="48"/>
        <v>0</v>
      </c>
      <c r="AL35" s="125">
        <f t="shared" si="48"/>
        <v>0</v>
      </c>
      <c r="AM35" s="125">
        <f t="shared" si="48"/>
        <v>0</v>
      </c>
      <c r="AN35" s="126">
        <f t="shared" si="48"/>
        <v>0</v>
      </c>
      <c r="AO35" s="115"/>
      <c r="AP35" s="115"/>
      <c r="AQ35" s="115"/>
      <c r="AR35" s="115"/>
      <c r="AS35" s="115"/>
      <c r="AT35" s="115"/>
      <c r="AU35" s="115"/>
      <c r="AV35" s="115"/>
      <c r="AW35" s="115"/>
    </row>
    <row r="36" spans="1:49">
      <c r="A36" s="115">
        <f t="shared" si="44"/>
        <v>33122.833428999962</v>
      </c>
      <c r="B36" s="115">
        <f t="shared" si="45"/>
        <v>28687.427632000035</v>
      </c>
      <c r="C36" s="123"/>
      <c r="D36" s="123"/>
      <c r="E36" s="123"/>
      <c r="F36" s="131" t="s">
        <v>140</v>
      </c>
      <c r="G36" s="122"/>
      <c r="H36" s="204">
        <f t="shared" si="46"/>
        <v>15140.682246000018</v>
      </c>
      <c r="I36" s="205">
        <f t="shared" si="46"/>
        <v>17982.151182999947</v>
      </c>
      <c r="J36" s="205">
        <f t="shared" si="46"/>
        <v>17780.674476000026</v>
      </c>
      <c r="K36" s="206">
        <f t="shared" si="46"/>
        <v>5168.6798640000243</v>
      </c>
      <c r="L36" s="204">
        <f t="shared" si="46"/>
        <v>9916.772995000043</v>
      </c>
      <c r="M36" s="205">
        <f t="shared" si="46"/>
        <v>18770.654636999992</v>
      </c>
      <c r="N36" s="205">
        <f t="shared" si="46"/>
        <v>0</v>
      </c>
      <c r="O36" s="206">
        <f t="shared" si="46"/>
        <v>0</v>
      </c>
      <c r="Q36" s="225">
        <f>+Q37+Q38</f>
        <v>0</v>
      </c>
      <c r="R36" s="134">
        <f t="shared" ref="R36:AN36" si="54">+R37+R38</f>
        <v>0</v>
      </c>
      <c r="S36" s="134">
        <f t="shared" si="54"/>
        <v>15140.682246000018</v>
      </c>
      <c r="T36" s="226">
        <f t="shared" si="54"/>
        <v>0</v>
      </c>
      <c r="U36" s="134">
        <f t="shared" si="54"/>
        <v>0</v>
      </c>
      <c r="V36" s="227">
        <f t="shared" si="54"/>
        <v>17982.151182999947</v>
      </c>
      <c r="W36" s="226">
        <f t="shared" si="54"/>
        <v>0</v>
      </c>
      <c r="X36" s="134">
        <f t="shared" si="54"/>
        <v>0</v>
      </c>
      <c r="Y36" s="227">
        <f t="shared" si="54"/>
        <v>17780.674476000026</v>
      </c>
      <c r="Z36" s="134">
        <f t="shared" si="54"/>
        <v>0</v>
      </c>
      <c r="AA36" s="134">
        <f t="shared" si="54"/>
        <v>0</v>
      </c>
      <c r="AB36" s="135">
        <f t="shared" si="54"/>
        <v>5168.6798640000243</v>
      </c>
      <c r="AC36" s="134">
        <f t="shared" si="54"/>
        <v>2282.842184000001</v>
      </c>
      <c r="AD36" s="134">
        <f t="shared" ref="AD36" si="55">+AD37+AD38</f>
        <v>699.37877100003743</v>
      </c>
      <c r="AE36" s="134">
        <f t="shared" ref="AE36" si="56">+AE37+AE38</f>
        <v>6934.5520400000041</v>
      </c>
      <c r="AF36" s="226">
        <f t="shared" ref="AF36" si="57">+AF37+AF38</f>
        <v>7420.1182349999763</v>
      </c>
      <c r="AG36" s="134">
        <f t="shared" ref="AG36" si="58">+AG37+AG38</f>
        <v>4968.8113810000013</v>
      </c>
      <c r="AH36" s="227">
        <f t="shared" ref="AH36" si="59">+AH37+AH38</f>
        <v>6381.7250210000129</v>
      </c>
      <c r="AI36" s="226">
        <f t="shared" si="54"/>
        <v>0</v>
      </c>
      <c r="AJ36" s="134">
        <f t="shared" si="54"/>
        <v>0</v>
      </c>
      <c r="AK36" s="227">
        <f t="shared" si="54"/>
        <v>0</v>
      </c>
      <c r="AL36" s="134">
        <f t="shared" si="54"/>
        <v>0</v>
      </c>
      <c r="AM36" s="134">
        <f t="shared" si="54"/>
        <v>0</v>
      </c>
      <c r="AN36" s="135">
        <f t="shared" si="54"/>
        <v>0</v>
      </c>
      <c r="AO36" s="115"/>
      <c r="AP36" s="115"/>
      <c r="AQ36" s="115"/>
      <c r="AR36" s="115"/>
      <c r="AS36" s="115"/>
      <c r="AT36" s="115"/>
      <c r="AU36" s="115"/>
      <c r="AV36" s="115"/>
      <c r="AW36" s="115"/>
    </row>
    <row r="37" spans="1:49">
      <c r="A37" s="115">
        <f t="shared" si="44"/>
        <v>31355.855111999961</v>
      </c>
      <c r="B37" s="115">
        <f t="shared" si="45"/>
        <v>27237.914845000036</v>
      </c>
      <c r="C37" s="123"/>
      <c r="D37" s="123"/>
      <c r="E37" s="123"/>
      <c r="F37" s="123"/>
      <c r="G37" s="131" t="s">
        <v>140</v>
      </c>
      <c r="H37" s="204">
        <f t="shared" si="46"/>
        <v>14402.621654000017</v>
      </c>
      <c r="I37" s="205">
        <f t="shared" si="46"/>
        <v>16953.233457999944</v>
      </c>
      <c r="J37" s="205">
        <f t="shared" si="46"/>
        <v>17029.900092000025</v>
      </c>
      <c r="K37" s="206">
        <f t="shared" si="46"/>
        <v>4509.582264000026</v>
      </c>
      <c r="L37" s="204">
        <f t="shared" si="46"/>
        <v>9239.9406310000413</v>
      </c>
      <c r="M37" s="205">
        <f t="shared" si="46"/>
        <v>17997.974213999994</v>
      </c>
      <c r="N37" s="205">
        <f t="shared" si="46"/>
        <v>0</v>
      </c>
      <c r="O37" s="206">
        <f t="shared" si="46"/>
        <v>0</v>
      </c>
      <c r="Q37" s="144"/>
      <c r="R37" s="125"/>
      <c r="S37" s="125">
        <f>+'[2]실적(당월)'!O94-('[2]실적(당월)'!O100+'[2]실적(당월)'!O105)</f>
        <v>14402.621654000017</v>
      </c>
      <c r="T37" s="151"/>
      <c r="U37" s="125"/>
      <c r="V37" s="152">
        <f>+'[2]실적(당월)'!P94-('[2]실적(당월)'!P100+'[2]실적(당월)'!P105)</f>
        <v>16953.233457999944</v>
      </c>
      <c r="W37" s="151"/>
      <c r="X37" s="125"/>
      <c r="Y37" s="152">
        <f>+'[2]실적(당월)'!Q94-('[2]실적(당월)'!Q100+'[2]실적(당월)'!Q105)</f>
        <v>17029.900092000025</v>
      </c>
      <c r="Z37" s="125"/>
      <c r="AA37" s="125"/>
      <c r="AB37" s="126">
        <f>+'[2]실적(당월)'!R94-('[2]실적(당월)'!R100+'[2]실적(당월)'!R105)</f>
        <v>4509.582264000026</v>
      </c>
      <c r="AC37" s="125">
        <f>+'[2]실적(당월)'!S94-('[2]실적(당월)'!S100+'[2]실적(당월)'!S105)</f>
        <v>2024.7341410000008</v>
      </c>
      <c r="AD37" s="125">
        <f>+'[2]실적(당월)'!T94-('[2]실적(당월)'!T100+'[2]실적(당월)'!T105)</f>
        <v>520.36954300003708</v>
      </c>
      <c r="AE37" s="125">
        <f>+'[2]실적(당월)'!U94-('[2]실적(당월)'!U100+'[2]실적(당월)'!U105)</f>
        <v>6694.8369470000034</v>
      </c>
      <c r="AF37" s="151">
        <f>+'[2]실적(당월)'!V94-('[2]실적(당월)'!V100+'[2]실적(당월)'!V105)</f>
        <v>7140.2661169999774</v>
      </c>
      <c r="AG37" s="125">
        <f>+'[2]실적(당월)'!W94-('[2]실적(당월)'!W100+'[2]실적(당월)'!W105)</f>
        <v>4701.1582330000019</v>
      </c>
      <c r="AH37" s="152">
        <f>+'[2]실적(당월)'!X94-('[2]실적(당월)'!X100+'[2]실적(당월)'!X105)</f>
        <v>6156.5498640000151</v>
      </c>
      <c r="AI37" s="151"/>
      <c r="AJ37" s="125"/>
      <c r="AK37" s="152"/>
      <c r="AL37" s="125"/>
      <c r="AM37" s="125"/>
      <c r="AN37" s="126"/>
      <c r="AO37" s="115"/>
      <c r="AP37" s="115"/>
      <c r="AQ37" s="115"/>
      <c r="AR37" s="115"/>
      <c r="AS37" s="115"/>
      <c r="AT37" s="115"/>
      <c r="AU37" s="115"/>
      <c r="AV37" s="115"/>
      <c r="AW37" s="115"/>
    </row>
    <row r="38" spans="1:49">
      <c r="A38" s="115">
        <f t="shared" si="44"/>
        <v>1766.9783170000028</v>
      </c>
      <c r="B38" s="115">
        <f t="shared" si="45"/>
        <v>1449.5127869999978</v>
      </c>
      <c r="C38" s="123"/>
      <c r="D38" s="123"/>
      <c r="E38" s="123"/>
      <c r="F38" s="123"/>
      <c r="G38" s="127" t="s">
        <v>141</v>
      </c>
      <c r="H38" s="207">
        <f t="shared" si="46"/>
        <v>738.06059200000072</v>
      </c>
      <c r="I38" s="208">
        <f t="shared" si="46"/>
        <v>1028.9177250000021</v>
      </c>
      <c r="J38" s="208">
        <f t="shared" si="46"/>
        <v>750.77438399999937</v>
      </c>
      <c r="K38" s="209">
        <f t="shared" si="46"/>
        <v>659.09759999999824</v>
      </c>
      <c r="L38" s="207">
        <f t="shared" si="46"/>
        <v>676.83236400000078</v>
      </c>
      <c r="M38" s="208">
        <f t="shared" si="46"/>
        <v>772.68042299999706</v>
      </c>
      <c r="N38" s="208">
        <f t="shared" si="46"/>
        <v>0</v>
      </c>
      <c r="O38" s="209">
        <f t="shared" si="46"/>
        <v>0</v>
      </c>
      <c r="Q38" s="144"/>
      <c r="R38" s="125"/>
      <c r="S38" s="125">
        <f>+'[2]실적(당월)'!O95-'[2]실적(당월)'!O111</f>
        <v>738.06059200000072</v>
      </c>
      <c r="T38" s="151"/>
      <c r="U38" s="125"/>
      <c r="V38" s="152">
        <f>+'[2]실적(당월)'!P95-'[2]실적(당월)'!P111</f>
        <v>1028.9177250000021</v>
      </c>
      <c r="W38" s="151"/>
      <c r="X38" s="125"/>
      <c r="Y38" s="152">
        <f>+'[2]실적(당월)'!Q95-'[2]실적(당월)'!Q111</f>
        <v>750.77438399999937</v>
      </c>
      <c r="Z38" s="125"/>
      <c r="AA38" s="125"/>
      <c r="AB38" s="126">
        <f>+'[2]실적(당월)'!R95-'[2]실적(당월)'!R111</f>
        <v>659.09759999999824</v>
      </c>
      <c r="AC38" s="125">
        <f>+'[2]실적(당월)'!S95-'[2]실적(당월)'!S111</f>
        <v>258.10804300000018</v>
      </c>
      <c r="AD38" s="125">
        <f>+'[2]실적(당월)'!T95-'[2]실적(당월)'!T111</f>
        <v>179.00922800000035</v>
      </c>
      <c r="AE38" s="125">
        <f>+'[2]실적(당월)'!U95-'[2]실적(당월)'!U111</f>
        <v>239.71509300000025</v>
      </c>
      <c r="AF38" s="151">
        <f>+'[2]실적(당월)'!V95-'[2]실적(당월)'!V111</f>
        <v>279.85211799999934</v>
      </c>
      <c r="AG38" s="125">
        <f>+'[2]실적(당월)'!W95-'[2]실적(당월)'!W111</f>
        <v>267.65314799999942</v>
      </c>
      <c r="AH38" s="152">
        <f>+'[2]실적(당월)'!X95-'[2]실적(당월)'!X111</f>
        <v>225.17515699999831</v>
      </c>
      <c r="AI38" s="151"/>
      <c r="AJ38" s="125"/>
      <c r="AK38" s="152"/>
      <c r="AL38" s="125"/>
      <c r="AM38" s="125"/>
      <c r="AN38" s="126"/>
      <c r="AO38" s="115"/>
      <c r="AP38" s="115"/>
      <c r="AQ38" s="115"/>
      <c r="AR38" s="115"/>
      <c r="AS38" s="115"/>
      <c r="AT38" s="115"/>
      <c r="AU38" s="115"/>
      <c r="AV38" s="115"/>
      <c r="AW38" s="115"/>
    </row>
    <row r="39" spans="1:49">
      <c r="A39" s="115">
        <f t="shared" si="44"/>
        <v>-4246.0061563179761</v>
      </c>
      <c r="B39" s="115">
        <f t="shared" si="45"/>
        <v>-858.67814665531603</v>
      </c>
      <c r="C39" s="123"/>
      <c r="D39" s="123"/>
      <c r="E39" s="123"/>
      <c r="F39" s="131" t="s">
        <v>155</v>
      </c>
      <c r="G39" s="122"/>
      <c r="H39" s="204">
        <f t="shared" si="46"/>
        <v>-427.76077717537703</v>
      </c>
      <c r="I39" s="205">
        <f t="shared" si="46"/>
        <v>-3818.2453791425992</v>
      </c>
      <c r="J39" s="205">
        <f t="shared" si="46"/>
        <v>-3752.6402876845204</v>
      </c>
      <c r="K39" s="206">
        <f t="shared" si="46"/>
        <v>-5106.3207341556099</v>
      </c>
      <c r="L39" s="204">
        <f t="shared" si="46"/>
        <v>-188.12266608161394</v>
      </c>
      <c r="M39" s="205">
        <f t="shared" si="46"/>
        <v>-670.55548057370208</v>
      </c>
      <c r="N39" s="205">
        <f t="shared" si="46"/>
        <v>0</v>
      </c>
      <c r="O39" s="206">
        <f t="shared" si="46"/>
        <v>0</v>
      </c>
      <c r="Q39" s="225">
        <f>+Q40+Q41+Q42</f>
        <v>0</v>
      </c>
      <c r="R39" s="134">
        <f t="shared" ref="R39:AN39" si="60">+R40+R41+R42</f>
        <v>0</v>
      </c>
      <c r="S39" s="134">
        <f t="shared" si="60"/>
        <v>-427.76077717537703</v>
      </c>
      <c r="T39" s="226">
        <f t="shared" si="60"/>
        <v>0</v>
      </c>
      <c r="U39" s="134">
        <f t="shared" si="60"/>
        <v>0</v>
      </c>
      <c r="V39" s="227">
        <f t="shared" si="60"/>
        <v>-3818.2453791425992</v>
      </c>
      <c r="W39" s="226">
        <f t="shared" si="60"/>
        <v>0</v>
      </c>
      <c r="X39" s="134">
        <f t="shared" si="60"/>
        <v>0</v>
      </c>
      <c r="Y39" s="227">
        <f t="shared" si="60"/>
        <v>-3752.6402876845204</v>
      </c>
      <c r="Z39" s="134">
        <f t="shared" si="60"/>
        <v>0</v>
      </c>
      <c r="AA39" s="134">
        <f t="shared" si="60"/>
        <v>0</v>
      </c>
      <c r="AB39" s="135">
        <f t="shared" si="60"/>
        <v>-5106.3207341556099</v>
      </c>
      <c r="AC39" s="134">
        <f t="shared" si="60"/>
        <v>-1088.9186477642284</v>
      </c>
      <c r="AD39" s="134">
        <f t="shared" ref="AD39" si="61">+AD40+AD41+AD42</f>
        <v>-281.89147142767268</v>
      </c>
      <c r="AE39" s="134">
        <f t="shared" ref="AE39" si="62">+AE40+AE41+AE42</f>
        <v>1182.6874531102872</v>
      </c>
      <c r="AF39" s="226">
        <f t="shared" ref="AF39" si="63">+AF40+AF41+AF42</f>
        <v>-799.05482098852724</v>
      </c>
      <c r="AG39" s="134">
        <f t="shared" ref="AG39" si="64">+AG40+AG41+AG42</f>
        <v>11.443202102006296</v>
      </c>
      <c r="AH39" s="227">
        <f t="shared" ref="AH39" si="65">+AH40+AH41+AH42</f>
        <v>117.05613831281892</v>
      </c>
      <c r="AI39" s="226">
        <f t="shared" si="60"/>
        <v>0</v>
      </c>
      <c r="AJ39" s="134">
        <f t="shared" si="60"/>
        <v>0</v>
      </c>
      <c r="AK39" s="227">
        <f t="shared" si="60"/>
        <v>0</v>
      </c>
      <c r="AL39" s="134">
        <f t="shared" si="60"/>
        <v>0</v>
      </c>
      <c r="AM39" s="134">
        <f t="shared" si="60"/>
        <v>0</v>
      </c>
      <c r="AN39" s="135">
        <f t="shared" si="60"/>
        <v>0</v>
      </c>
      <c r="AO39" s="115"/>
      <c r="AP39" s="115"/>
      <c r="AQ39" s="115"/>
      <c r="AR39" s="115"/>
      <c r="AS39" s="115"/>
      <c r="AT39" s="115"/>
      <c r="AU39" s="115"/>
      <c r="AV39" s="115"/>
      <c r="AW39" s="115"/>
    </row>
    <row r="40" spans="1:49">
      <c r="A40" s="115">
        <f t="shared" si="44"/>
        <v>-4531.0454723179773</v>
      </c>
      <c r="B40" s="115">
        <f t="shared" si="45"/>
        <v>-1780.2972296553166</v>
      </c>
      <c r="C40" s="123"/>
      <c r="D40" s="123"/>
      <c r="E40" s="123"/>
      <c r="F40" s="123"/>
      <c r="G40" s="131" t="s">
        <v>142</v>
      </c>
      <c r="H40" s="204">
        <f t="shared" si="46"/>
        <v>-2234.5441531753786</v>
      </c>
      <c r="I40" s="205">
        <f t="shared" si="46"/>
        <v>-2296.5013191425992</v>
      </c>
      <c r="J40" s="205">
        <f t="shared" si="46"/>
        <v>-2151.3221906845142</v>
      </c>
      <c r="K40" s="206">
        <f t="shared" si="46"/>
        <v>-2483.2939701556197</v>
      </c>
      <c r="L40" s="204">
        <f t="shared" si="46"/>
        <v>-577.07874508161512</v>
      </c>
      <c r="M40" s="205">
        <f t="shared" si="46"/>
        <v>-1203.2184845737015</v>
      </c>
      <c r="N40" s="205">
        <f t="shared" si="46"/>
        <v>0</v>
      </c>
      <c r="O40" s="206">
        <f t="shared" si="46"/>
        <v>0</v>
      </c>
      <c r="Q40" s="144"/>
      <c r="R40" s="125"/>
      <c r="S40" s="125">
        <f>+'[2]실적(당월)'!O96-'[2]실적(당월)'!O113</f>
        <v>-2234.5441531753786</v>
      </c>
      <c r="T40" s="151"/>
      <c r="U40" s="125"/>
      <c r="V40" s="152">
        <f>+'[2]실적(당월)'!P96-'[2]실적(당월)'!P113</f>
        <v>-2296.5013191425992</v>
      </c>
      <c r="W40" s="151"/>
      <c r="X40" s="125"/>
      <c r="Y40" s="152">
        <f>+'[2]실적(당월)'!Q96-'[2]실적(당월)'!Q113</f>
        <v>-2151.3221906845142</v>
      </c>
      <c r="Z40" s="125"/>
      <c r="AA40" s="125"/>
      <c r="AB40" s="126">
        <f>+'[2]실적(당월)'!R96-'[2]실적(당월)'!R113</f>
        <v>-2483.2939701556197</v>
      </c>
      <c r="AC40" s="125">
        <f>+'[2]실적(당월)'!S96-'[2]실적(당월)'!S113</f>
        <v>-327.83561176422882</v>
      </c>
      <c r="AD40" s="125">
        <f>+'[2]실적(당월)'!T96-'[2]실적(당월)'!T113</f>
        <v>-47.917280427671813</v>
      </c>
      <c r="AE40" s="125">
        <f>+'[2]실적(당월)'!U96-'[2]실적(당월)'!U113</f>
        <v>-201.3258528897145</v>
      </c>
      <c r="AF40" s="151">
        <f>+'[2]실적(당월)'!V96-'[2]실적(당월)'!V113</f>
        <v>-576.79208398853189</v>
      </c>
      <c r="AG40" s="125">
        <f>+'[2]실적(당월)'!W96-'[2]실적(당월)'!W113</f>
        <v>-240.29192289798812</v>
      </c>
      <c r="AH40" s="152">
        <f>+'[2]실적(당월)'!X96-'[2]실적(당월)'!X113</f>
        <v>-386.13447768718152</v>
      </c>
      <c r="AI40" s="151"/>
      <c r="AJ40" s="125"/>
      <c r="AK40" s="152"/>
      <c r="AL40" s="125"/>
      <c r="AM40" s="125"/>
      <c r="AN40" s="126"/>
      <c r="AO40" s="115"/>
      <c r="AP40" s="115"/>
      <c r="AQ40" s="115"/>
      <c r="AR40" s="115"/>
      <c r="AS40" s="115"/>
      <c r="AT40" s="115"/>
      <c r="AU40" s="115"/>
      <c r="AV40" s="115"/>
      <c r="AW40" s="115"/>
    </row>
    <row r="41" spans="1:49">
      <c r="A41" s="115">
        <f t="shared" si="44"/>
        <v>-223.36266899999828</v>
      </c>
      <c r="B41" s="115">
        <f t="shared" si="45"/>
        <v>1031.1780430000008</v>
      </c>
      <c r="C41" s="123"/>
      <c r="D41" s="123"/>
      <c r="E41" s="123"/>
      <c r="F41" s="123"/>
      <c r="G41" s="123" t="s">
        <v>143</v>
      </c>
      <c r="H41" s="192">
        <f t="shared" si="46"/>
        <v>1558.0446660000016</v>
      </c>
      <c r="I41" s="193">
        <f t="shared" si="46"/>
        <v>-1781.4073349999999</v>
      </c>
      <c r="J41" s="193">
        <f t="shared" si="46"/>
        <v>-1832.1476500000063</v>
      </c>
      <c r="K41" s="194">
        <f t="shared" si="46"/>
        <v>-2748.3488379999908</v>
      </c>
      <c r="L41" s="192">
        <f t="shared" si="46"/>
        <v>421.01850600000125</v>
      </c>
      <c r="M41" s="193">
        <f t="shared" si="46"/>
        <v>610.15953699999955</v>
      </c>
      <c r="N41" s="193">
        <f t="shared" si="46"/>
        <v>0</v>
      </c>
      <c r="O41" s="194">
        <f t="shared" si="46"/>
        <v>0</v>
      </c>
      <c r="Q41" s="144"/>
      <c r="R41" s="125"/>
      <c r="S41" s="125">
        <f>+'[2]실적(당월)'!O97-'[2]실적(당월)'!O114</f>
        <v>1558.0446660000016</v>
      </c>
      <c r="T41" s="151"/>
      <c r="U41" s="125"/>
      <c r="V41" s="152">
        <f>+'[2]실적(당월)'!P97-'[2]실적(당월)'!P114</f>
        <v>-1781.4073349999999</v>
      </c>
      <c r="W41" s="151"/>
      <c r="X41" s="125"/>
      <c r="Y41" s="152">
        <f>+'[2]실적(당월)'!Q97-'[2]실적(당월)'!Q114</f>
        <v>-1832.1476500000063</v>
      </c>
      <c r="Z41" s="125"/>
      <c r="AA41" s="125"/>
      <c r="AB41" s="126">
        <f>+'[2]실적(당월)'!R97-'[2]실적(당월)'!R114</f>
        <v>-2748.3488379999908</v>
      </c>
      <c r="AC41" s="125">
        <f>+'[2]실적(당월)'!S97-'[2]실적(당월)'!S114</f>
        <v>-701.86624599999959</v>
      </c>
      <c r="AD41" s="125">
        <f>+'[2]실적(당월)'!T97-'[2]실적(당월)'!T114</f>
        <v>-229.93500400000084</v>
      </c>
      <c r="AE41" s="125">
        <f>+'[2]실적(당월)'!U97-'[2]실적(당월)'!U114</f>
        <v>1352.8197560000017</v>
      </c>
      <c r="AF41" s="151">
        <f>+'[2]실적(당월)'!V97-'[2]실적(당월)'!V114</f>
        <v>-229.11339599999519</v>
      </c>
      <c r="AG41" s="125">
        <f>+'[2]실적(당월)'!W97-'[2]실적(당월)'!W114</f>
        <v>304.07917699999416</v>
      </c>
      <c r="AH41" s="152">
        <f>+'[2]실적(당월)'!X97-'[2]실적(당월)'!X114</f>
        <v>535.19375600000058</v>
      </c>
      <c r="AI41" s="151"/>
      <c r="AJ41" s="125"/>
      <c r="AK41" s="152"/>
      <c r="AL41" s="125"/>
      <c r="AM41" s="125"/>
      <c r="AN41" s="126"/>
      <c r="AO41" s="115"/>
      <c r="AP41" s="115"/>
      <c r="AQ41" s="115"/>
      <c r="AR41" s="115"/>
      <c r="AS41" s="115"/>
      <c r="AT41" s="115"/>
      <c r="AU41" s="115"/>
      <c r="AV41" s="115"/>
      <c r="AW41" s="115"/>
    </row>
    <row r="42" spans="1:49">
      <c r="A42" s="115">
        <f t="shared" si="44"/>
        <v>508.40198499999974</v>
      </c>
      <c r="B42" s="115">
        <f t="shared" si="45"/>
        <v>-109.55896000000007</v>
      </c>
      <c r="C42" s="123"/>
      <c r="D42" s="123"/>
      <c r="E42" s="123"/>
      <c r="F42" s="127"/>
      <c r="G42" s="127" t="s">
        <v>144</v>
      </c>
      <c r="H42" s="207">
        <f t="shared" si="46"/>
        <v>248.73870999999997</v>
      </c>
      <c r="I42" s="208">
        <f t="shared" si="46"/>
        <v>259.66327499999977</v>
      </c>
      <c r="J42" s="208">
        <f t="shared" si="46"/>
        <v>230.82955300000003</v>
      </c>
      <c r="K42" s="209">
        <f t="shared" si="46"/>
        <v>125.32207400000027</v>
      </c>
      <c r="L42" s="207">
        <f t="shared" si="46"/>
        <v>-32.062427000000014</v>
      </c>
      <c r="M42" s="208">
        <f t="shared" si="46"/>
        <v>-77.496533000000056</v>
      </c>
      <c r="N42" s="208">
        <f t="shared" si="46"/>
        <v>0</v>
      </c>
      <c r="O42" s="209">
        <f t="shared" si="46"/>
        <v>0</v>
      </c>
      <c r="Q42" s="144"/>
      <c r="R42" s="125"/>
      <c r="S42" s="125">
        <f>+'[2]실적(당월)'!O98-'[2]실적(당월)'!O115</f>
        <v>248.73870999999997</v>
      </c>
      <c r="T42" s="151"/>
      <c r="U42" s="125"/>
      <c r="V42" s="152">
        <f>+'[2]실적(당월)'!P98-'[2]실적(당월)'!P115</f>
        <v>259.66327499999977</v>
      </c>
      <c r="W42" s="151"/>
      <c r="X42" s="125"/>
      <c r="Y42" s="152">
        <f>+'[2]실적(당월)'!Q98-'[2]실적(당월)'!Q115</f>
        <v>230.82955300000003</v>
      </c>
      <c r="Z42" s="125"/>
      <c r="AA42" s="125"/>
      <c r="AB42" s="126">
        <f>+'[2]실적(당월)'!R98-'[2]실적(당월)'!R115</f>
        <v>125.32207400000027</v>
      </c>
      <c r="AC42" s="125">
        <f>+'[2]실적(당월)'!S98-'[2]실적(당월)'!S115</f>
        <v>-59.21679000000006</v>
      </c>
      <c r="AD42" s="125">
        <f>+'[2]실적(당월)'!T98-'[2]실적(당월)'!T115</f>
        <v>-4.0391870000000267</v>
      </c>
      <c r="AE42" s="125">
        <f>+'[2]실적(당월)'!U98-'[2]실적(당월)'!U115</f>
        <v>31.193550000000073</v>
      </c>
      <c r="AF42" s="151">
        <f>+'[2]실적(당월)'!V98-'[2]실적(당월)'!V115</f>
        <v>6.8506589999998369</v>
      </c>
      <c r="AG42" s="125">
        <f>+'[2]실적(당월)'!W98-'[2]실적(당월)'!W115</f>
        <v>-52.344051999999749</v>
      </c>
      <c r="AH42" s="152">
        <f>+'[2]실적(당월)'!X98-'[2]실적(당월)'!X115</f>
        <v>-32.003140000000144</v>
      </c>
      <c r="AI42" s="151"/>
      <c r="AJ42" s="125"/>
      <c r="AK42" s="152"/>
      <c r="AL42" s="125"/>
      <c r="AM42" s="125"/>
      <c r="AN42" s="126"/>
      <c r="AO42" s="115"/>
      <c r="AP42" s="115"/>
      <c r="AQ42" s="115"/>
      <c r="AR42" s="115"/>
      <c r="AS42" s="115"/>
      <c r="AT42" s="115"/>
      <c r="AU42" s="115"/>
      <c r="AV42" s="115"/>
      <c r="AW42" s="115"/>
    </row>
    <row r="43" spans="1:49">
      <c r="A43" s="115">
        <f t="shared" si="44"/>
        <v>-10342.803012999995</v>
      </c>
      <c r="B43" s="115">
        <f t="shared" si="45"/>
        <v>-11184.527566999997</v>
      </c>
      <c r="C43" s="123"/>
      <c r="D43" s="123"/>
      <c r="E43" s="131" t="s">
        <v>156</v>
      </c>
      <c r="F43" s="122"/>
      <c r="G43" s="122"/>
      <c r="H43" s="204">
        <f t="shared" si="46"/>
        <v>-3655.0264689999985</v>
      </c>
      <c r="I43" s="205">
        <f t="shared" si="46"/>
        <v>-6687.7765439999966</v>
      </c>
      <c r="J43" s="205">
        <f t="shared" si="46"/>
        <v>-3821.2064349999973</v>
      </c>
      <c r="K43" s="206">
        <f t="shared" si="46"/>
        <v>-4902.2750609999985</v>
      </c>
      <c r="L43" s="204">
        <f t="shared" si="46"/>
        <v>-4735.9647510000004</v>
      </c>
      <c r="M43" s="205">
        <f t="shared" si="46"/>
        <v>-6448.5628159999969</v>
      </c>
      <c r="N43" s="205">
        <f t="shared" si="46"/>
        <v>0</v>
      </c>
      <c r="O43" s="206">
        <f t="shared" si="46"/>
        <v>0</v>
      </c>
      <c r="Q43" s="225"/>
      <c r="R43" s="134"/>
      <c r="S43" s="134">
        <f>+'[2]실적(당월)'!O117</f>
        <v>-3655.0264689999985</v>
      </c>
      <c r="T43" s="226"/>
      <c r="U43" s="134"/>
      <c r="V43" s="227">
        <f>+'[2]실적(당월)'!P117</f>
        <v>-6687.7765439999966</v>
      </c>
      <c r="W43" s="226"/>
      <c r="X43" s="134"/>
      <c r="Y43" s="227">
        <f>+'[2]실적(당월)'!Q117</f>
        <v>-3821.2064349999973</v>
      </c>
      <c r="Z43" s="134"/>
      <c r="AA43" s="134"/>
      <c r="AB43" s="135">
        <f>+'[2]실적(당월)'!R117</f>
        <v>-4902.2750609999985</v>
      </c>
      <c r="AC43" s="134">
        <f>+'[2]실적(당월)'!S117</f>
        <v>-4285.1759110000003</v>
      </c>
      <c r="AD43" s="134">
        <f>+'[2]실적(당월)'!T117</f>
        <v>-1131.8851019999993</v>
      </c>
      <c r="AE43" s="134">
        <f>+'[2]실적(당월)'!U117</f>
        <v>681.09626199999889</v>
      </c>
      <c r="AF43" s="226">
        <f>+'[2]실적(당월)'!V117</f>
        <v>-4389.1512920000005</v>
      </c>
      <c r="AG43" s="134">
        <f>+'[2]실적(당월)'!W117</f>
        <v>-381.87669000000596</v>
      </c>
      <c r="AH43" s="227">
        <f>+'[2]실적(당월)'!X117</f>
        <v>-1677.5348339999898</v>
      </c>
      <c r="AI43" s="226"/>
      <c r="AJ43" s="134"/>
      <c r="AK43" s="227"/>
      <c r="AL43" s="134"/>
      <c r="AM43" s="134"/>
      <c r="AN43" s="135"/>
      <c r="AO43" s="115"/>
      <c r="AP43" s="115"/>
      <c r="AQ43" s="115"/>
      <c r="AR43" s="115"/>
      <c r="AS43" s="115"/>
      <c r="AT43" s="115"/>
      <c r="AU43" s="115"/>
      <c r="AV43" s="115"/>
      <c r="AW43" s="115"/>
    </row>
    <row r="44" spans="1:49">
      <c r="A44" s="115">
        <f t="shared" si="44"/>
        <v>11021.416725999999</v>
      </c>
      <c r="B44" s="115">
        <f t="shared" si="45"/>
        <v>14442.647113000001</v>
      </c>
      <c r="C44" s="123"/>
      <c r="D44" s="123"/>
      <c r="E44" s="131" t="s">
        <v>157</v>
      </c>
      <c r="F44" s="122"/>
      <c r="G44" s="122"/>
      <c r="H44" s="204">
        <f t="shared" si="46"/>
        <v>4346.6138109999993</v>
      </c>
      <c r="I44" s="205">
        <f t="shared" si="46"/>
        <v>6674.8029150000002</v>
      </c>
      <c r="J44" s="205">
        <f t="shared" si="46"/>
        <v>4981.1082839999999</v>
      </c>
      <c r="K44" s="206">
        <f t="shared" si="46"/>
        <v>3260.8385379999986</v>
      </c>
      <c r="L44" s="204">
        <f t="shared" si="46"/>
        <v>9055.9756660000003</v>
      </c>
      <c r="M44" s="205">
        <f t="shared" si="46"/>
        <v>5386.6714470000006</v>
      </c>
      <c r="N44" s="205">
        <f t="shared" si="46"/>
        <v>0</v>
      </c>
      <c r="O44" s="206">
        <f t="shared" si="46"/>
        <v>0</v>
      </c>
      <c r="Q44" s="225">
        <f>+Q45+Q46+Q47</f>
        <v>0</v>
      </c>
      <c r="R44" s="134">
        <f t="shared" ref="R44:AN44" si="66">+R45+R46+R47</f>
        <v>0</v>
      </c>
      <c r="S44" s="134">
        <f t="shared" si="66"/>
        <v>4346.6138109999993</v>
      </c>
      <c r="T44" s="226">
        <f t="shared" si="66"/>
        <v>0</v>
      </c>
      <c r="U44" s="134">
        <f t="shared" si="66"/>
        <v>0</v>
      </c>
      <c r="V44" s="227">
        <f t="shared" si="66"/>
        <v>6674.8029150000002</v>
      </c>
      <c r="W44" s="226">
        <f t="shared" si="66"/>
        <v>0</v>
      </c>
      <c r="X44" s="134">
        <f t="shared" si="66"/>
        <v>0</v>
      </c>
      <c r="Y44" s="227">
        <f t="shared" si="66"/>
        <v>4981.1082839999999</v>
      </c>
      <c r="Z44" s="134">
        <f t="shared" si="66"/>
        <v>0</v>
      </c>
      <c r="AA44" s="134">
        <f t="shared" si="66"/>
        <v>0</v>
      </c>
      <c r="AB44" s="135">
        <f t="shared" si="66"/>
        <v>3260.8385379999986</v>
      </c>
      <c r="AC44" s="134">
        <f t="shared" si="66"/>
        <v>7217.9997560000011</v>
      </c>
      <c r="AD44" s="134">
        <f t="shared" ref="AD44" si="67">+AD45+AD46+AD47</f>
        <v>2993.0268599999999</v>
      </c>
      <c r="AE44" s="134">
        <f t="shared" ref="AE44" si="68">+AE45+AE46+AE47</f>
        <v>-1155.0509500000001</v>
      </c>
      <c r="AF44" s="226">
        <f t="shared" ref="AF44" si="69">+AF45+AF46+AF47</f>
        <v>2703.0167979999997</v>
      </c>
      <c r="AG44" s="134">
        <f t="shared" ref="AG44" si="70">+AG45+AG46+AG47</f>
        <v>1495.5107510000007</v>
      </c>
      <c r="AH44" s="227">
        <f t="shared" ref="AH44" si="71">+AH45+AH46+AH47</f>
        <v>1188.1438979999998</v>
      </c>
      <c r="AI44" s="226">
        <f t="shared" si="66"/>
        <v>0</v>
      </c>
      <c r="AJ44" s="134">
        <f t="shared" si="66"/>
        <v>0</v>
      </c>
      <c r="AK44" s="227">
        <f t="shared" si="66"/>
        <v>0</v>
      </c>
      <c r="AL44" s="134">
        <f t="shared" si="66"/>
        <v>0</v>
      </c>
      <c r="AM44" s="134">
        <f t="shared" si="66"/>
        <v>0</v>
      </c>
      <c r="AN44" s="135">
        <f t="shared" si="66"/>
        <v>0</v>
      </c>
      <c r="AO44" s="115"/>
      <c r="AP44" s="115"/>
      <c r="AQ44" s="115"/>
      <c r="AR44" s="115"/>
      <c r="AS44" s="115"/>
      <c r="AT44" s="115"/>
      <c r="AU44" s="115"/>
      <c r="AV44" s="115"/>
      <c r="AW44" s="115"/>
    </row>
    <row r="45" spans="1:49">
      <c r="A45" s="115">
        <f t="shared" si="44"/>
        <v>2584.2185730000001</v>
      </c>
      <c r="B45" s="115">
        <f t="shared" si="45"/>
        <v>8535.1782760000024</v>
      </c>
      <c r="C45" s="123"/>
      <c r="D45" s="123"/>
      <c r="E45" s="123"/>
      <c r="F45" s="131" t="s">
        <v>158</v>
      </c>
      <c r="G45" s="122"/>
      <c r="H45" s="204">
        <f t="shared" si="46"/>
        <v>1556.656217</v>
      </c>
      <c r="I45" s="205">
        <f t="shared" si="46"/>
        <v>1027.5623560000001</v>
      </c>
      <c r="J45" s="205">
        <f t="shared" si="46"/>
        <v>1921.9372709999998</v>
      </c>
      <c r="K45" s="206">
        <f t="shared" si="46"/>
        <v>2667.3323960000007</v>
      </c>
      <c r="L45" s="204">
        <f t="shared" si="46"/>
        <v>4365.1805940000013</v>
      </c>
      <c r="M45" s="205">
        <f t="shared" si="46"/>
        <v>4169.9976820000011</v>
      </c>
      <c r="N45" s="205">
        <f t="shared" si="46"/>
        <v>0</v>
      </c>
      <c r="O45" s="206">
        <f t="shared" si="46"/>
        <v>0</v>
      </c>
      <c r="Q45" s="144"/>
      <c r="R45" s="125"/>
      <c r="S45" s="125">
        <f>+'[2]실적(당월)'!O116</f>
        <v>1556.656217</v>
      </c>
      <c r="T45" s="151"/>
      <c r="U45" s="125"/>
      <c r="V45" s="152">
        <f>+'[2]실적(당월)'!P116</f>
        <v>1027.5623560000001</v>
      </c>
      <c r="W45" s="151"/>
      <c r="X45" s="125"/>
      <c r="Y45" s="152">
        <f>+'[2]실적(당월)'!Q116</f>
        <v>1921.9372709999998</v>
      </c>
      <c r="Z45" s="125"/>
      <c r="AA45" s="125"/>
      <c r="AB45" s="126">
        <f>+'[2]실적(당월)'!R116</f>
        <v>2667.3323960000007</v>
      </c>
      <c r="AC45" s="125">
        <f>+'[2]실적(당월)'!S116</f>
        <v>2695.5387310000001</v>
      </c>
      <c r="AD45" s="125">
        <f>+'[2]실적(당월)'!T116</f>
        <v>2200.1913690000001</v>
      </c>
      <c r="AE45" s="125">
        <f>+'[2]실적(당월)'!U116</f>
        <v>-530.54950599999984</v>
      </c>
      <c r="AF45" s="151">
        <f>+'[2]실적(당월)'!V116</f>
        <v>1477.9337909999995</v>
      </c>
      <c r="AG45" s="125">
        <f>+'[2]실적(당월)'!W116</f>
        <v>1578.9873870000008</v>
      </c>
      <c r="AH45" s="152">
        <f>+'[2]실적(당월)'!X116</f>
        <v>1113.0765040000001</v>
      </c>
      <c r="AI45" s="151"/>
      <c r="AJ45" s="125"/>
      <c r="AK45" s="152"/>
      <c r="AL45" s="125"/>
      <c r="AM45" s="125"/>
      <c r="AN45" s="126"/>
      <c r="AO45" s="115"/>
      <c r="AP45" s="115"/>
      <c r="AQ45" s="115"/>
      <c r="AR45" s="115"/>
      <c r="AS45" s="115"/>
      <c r="AT45" s="115"/>
      <c r="AU45" s="115"/>
      <c r="AV45" s="115"/>
      <c r="AW45" s="115"/>
    </row>
    <row r="46" spans="1:49">
      <c r="A46" s="115">
        <f t="shared" si="44"/>
        <v>13296.995102000001</v>
      </c>
      <c r="B46" s="115">
        <f t="shared" si="45"/>
        <v>5695.010757</v>
      </c>
      <c r="C46" s="123"/>
      <c r="D46" s="123"/>
      <c r="E46" s="123"/>
      <c r="F46" s="123" t="s">
        <v>159</v>
      </c>
      <c r="G46" s="124"/>
      <c r="H46" s="192">
        <f t="shared" si="46"/>
        <v>5200.3438889999998</v>
      </c>
      <c r="I46" s="193">
        <f t="shared" si="46"/>
        <v>8096.6512130000001</v>
      </c>
      <c r="J46" s="193">
        <f t="shared" si="46"/>
        <v>5285.8227260000003</v>
      </c>
      <c r="K46" s="194">
        <f t="shared" si="46"/>
        <v>4017.3190369999984</v>
      </c>
      <c r="L46" s="192">
        <f t="shared" si="46"/>
        <v>4570.2309100000002</v>
      </c>
      <c r="M46" s="193">
        <f t="shared" si="46"/>
        <v>1124.779847</v>
      </c>
      <c r="N46" s="193">
        <f t="shared" si="46"/>
        <v>0</v>
      </c>
      <c r="O46" s="194">
        <f t="shared" si="46"/>
        <v>0</v>
      </c>
      <c r="Q46" s="144"/>
      <c r="R46" s="125"/>
      <c r="S46" s="125">
        <f>+'[2]실적(당월)'!O112</f>
        <v>5200.3438889999998</v>
      </c>
      <c r="T46" s="151"/>
      <c r="U46" s="125"/>
      <c r="V46" s="152">
        <f>+'[2]실적(당월)'!P112</f>
        <v>8096.6512130000001</v>
      </c>
      <c r="W46" s="151"/>
      <c r="X46" s="125"/>
      <c r="Y46" s="152">
        <f>+'[2]실적(당월)'!Q112</f>
        <v>5285.8227260000003</v>
      </c>
      <c r="Z46" s="125"/>
      <c r="AA46" s="125"/>
      <c r="AB46" s="126">
        <f>+'[2]실적(당월)'!R112</f>
        <v>4017.3190369999984</v>
      </c>
      <c r="AC46" s="125">
        <f>+'[2]실적(당월)'!S112</f>
        <v>4522.0618180000001</v>
      </c>
      <c r="AD46" s="125">
        <f>+'[2]실적(당월)'!T112</f>
        <v>26.10172999999989</v>
      </c>
      <c r="AE46" s="125">
        <f>+'[2]실적(당월)'!U112</f>
        <v>22.067361999999946</v>
      </c>
      <c r="AF46" s="151">
        <f>+'[2]실적(당월)'!V112</f>
        <v>790.48345300000028</v>
      </c>
      <c r="AG46" s="125">
        <f>+'[2]실적(당월)'!W112</f>
        <v>240.65057400000001</v>
      </c>
      <c r="AH46" s="152">
        <f>+'[2]실적(당월)'!X112</f>
        <v>93.645819999999702</v>
      </c>
      <c r="AI46" s="151"/>
      <c r="AJ46" s="125"/>
      <c r="AK46" s="152"/>
      <c r="AL46" s="125"/>
      <c r="AM46" s="125"/>
      <c r="AN46" s="126"/>
      <c r="AO46" s="115"/>
      <c r="AP46" s="115"/>
      <c r="AQ46" s="115"/>
      <c r="AR46" s="115"/>
      <c r="AS46" s="115"/>
      <c r="AT46" s="115"/>
      <c r="AU46" s="115"/>
      <c r="AV46" s="115"/>
      <c r="AW46" s="115"/>
    </row>
    <row r="47" spans="1:49">
      <c r="A47" s="115">
        <f t="shared" si="44"/>
        <v>-4859.7969489999996</v>
      </c>
      <c r="B47" s="115">
        <f t="shared" si="45"/>
        <v>212.45808000000002</v>
      </c>
      <c r="C47" s="123"/>
      <c r="D47" s="127"/>
      <c r="E47" s="127"/>
      <c r="F47" s="127" t="s">
        <v>160</v>
      </c>
      <c r="G47" s="128"/>
      <c r="H47" s="207">
        <f t="shared" si="46"/>
        <v>-2410.3862949999998</v>
      </c>
      <c r="I47" s="208">
        <f t="shared" si="46"/>
        <v>-2449.4106539999998</v>
      </c>
      <c r="J47" s="208">
        <f t="shared" si="46"/>
        <v>-2226.6517129999997</v>
      </c>
      <c r="K47" s="209">
        <f t="shared" si="46"/>
        <v>-3423.8128950000005</v>
      </c>
      <c r="L47" s="207">
        <f t="shared" si="46"/>
        <v>120.56416200000001</v>
      </c>
      <c r="M47" s="208">
        <f t="shared" si="46"/>
        <v>91.893918000000014</v>
      </c>
      <c r="N47" s="208">
        <f t="shared" si="46"/>
        <v>0</v>
      </c>
      <c r="O47" s="209">
        <f t="shared" si="46"/>
        <v>0</v>
      </c>
      <c r="Q47" s="144"/>
      <c r="R47" s="125"/>
      <c r="S47" s="125">
        <f>'[2]실적(당월)'!O195</f>
        <v>-2410.3862949999998</v>
      </c>
      <c r="T47" s="151"/>
      <c r="U47" s="125"/>
      <c r="V47" s="152">
        <f>'[2]실적(당월)'!P195</f>
        <v>-2449.4106539999998</v>
      </c>
      <c r="W47" s="151"/>
      <c r="X47" s="125"/>
      <c r="Y47" s="152">
        <f>'[2]실적(당월)'!Q195</f>
        <v>-2226.6517129999997</v>
      </c>
      <c r="Z47" s="125"/>
      <c r="AA47" s="125"/>
      <c r="AB47" s="126">
        <f>'[2]실적(당월)'!R195</f>
        <v>-3423.8128950000005</v>
      </c>
      <c r="AC47" s="125">
        <f>'[2]실적(당월)'!S195</f>
        <v>0.39920700000000003</v>
      </c>
      <c r="AD47" s="125">
        <f>'[2]실적(당월)'!T195</f>
        <v>766.73376100000007</v>
      </c>
      <c r="AE47" s="125">
        <f>'[2]실적(당월)'!U195</f>
        <v>-646.56880600000011</v>
      </c>
      <c r="AF47" s="151">
        <f>'[2]실적(당월)'!V195</f>
        <v>434.59955400000007</v>
      </c>
      <c r="AG47" s="125">
        <f>'[2]실적(당월)'!W195</f>
        <v>-324.12721000000005</v>
      </c>
      <c r="AH47" s="152">
        <f>'[2]실적(당월)'!X195</f>
        <v>-18.578426000000015</v>
      </c>
      <c r="AI47" s="151"/>
      <c r="AJ47" s="125"/>
      <c r="AK47" s="152"/>
      <c r="AL47" s="125"/>
      <c r="AM47" s="125"/>
      <c r="AN47" s="126"/>
      <c r="AO47" s="115"/>
      <c r="AP47" s="115"/>
      <c r="AQ47" s="115"/>
      <c r="AR47" s="115"/>
      <c r="AS47" s="115"/>
      <c r="AT47" s="115"/>
      <c r="AU47" s="115"/>
      <c r="AV47" s="115"/>
      <c r="AW47" s="115"/>
    </row>
    <row r="48" spans="1:49">
      <c r="A48" s="115">
        <f t="shared" si="44"/>
        <v>1772.2916399999995</v>
      </c>
      <c r="B48" s="115">
        <f t="shared" si="45"/>
        <v>5746.1357209999933</v>
      </c>
      <c r="C48" s="123"/>
      <c r="D48" s="171" t="s">
        <v>161</v>
      </c>
      <c r="E48" s="172"/>
      <c r="F48" s="172"/>
      <c r="G48" s="172"/>
      <c r="H48" s="189">
        <f t="shared" si="46"/>
        <v>2372.1800630000071</v>
      </c>
      <c r="I48" s="190">
        <f t="shared" si="46"/>
        <v>-599.88842300000761</v>
      </c>
      <c r="J48" s="190">
        <f t="shared" si="46"/>
        <v>-1639.5896979999998</v>
      </c>
      <c r="K48" s="191">
        <f t="shared" si="46"/>
        <v>-9759.4345199999952</v>
      </c>
      <c r="L48" s="189">
        <f t="shared" si="46"/>
        <v>3519.1574709999968</v>
      </c>
      <c r="M48" s="190">
        <f t="shared" si="46"/>
        <v>2226.978249999996</v>
      </c>
      <c r="N48" s="190">
        <f t="shared" si="46"/>
        <v>0</v>
      </c>
      <c r="O48" s="191">
        <f t="shared" si="46"/>
        <v>0</v>
      </c>
      <c r="Q48" s="228">
        <f>+Q49-Q52</f>
        <v>0</v>
      </c>
      <c r="R48" s="229">
        <f t="shared" ref="R48:AN48" si="72">+R49-R52</f>
        <v>0</v>
      </c>
      <c r="S48" s="229">
        <f t="shared" si="72"/>
        <v>2372.1800630000071</v>
      </c>
      <c r="T48" s="230">
        <f t="shared" si="72"/>
        <v>0</v>
      </c>
      <c r="U48" s="229">
        <f t="shared" si="72"/>
        <v>0</v>
      </c>
      <c r="V48" s="231">
        <f t="shared" si="72"/>
        <v>-599.88842300000761</v>
      </c>
      <c r="W48" s="230">
        <f t="shared" si="72"/>
        <v>0</v>
      </c>
      <c r="X48" s="229">
        <f t="shared" si="72"/>
        <v>0</v>
      </c>
      <c r="Y48" s="231">
        <f t="shared" si="72"/>
        <v>-1639.5896979999998</v>
      </c>
      <c r="Z48" s="229">
        <f t="shared" si="72"/>
        <v>0</v>
      </c>
      <c r="AA48" s="229">
        <f t="shared" si="72"/>
        <v>0</v>
      </c>
      <c r="AB48" s="232">
        <f t="shared" si="72"/>
        <v>-9759.4345199999952</v>
      </c>
      <c r="AC48" s="229">
        <f t="shared" si="72"/>
        <v>-346.53146799999649</v>
      </c>
      <c r="AD48" s="229">
        <f t="shared" ref="AD48" si="73">+AD49-AD52</f>
        <v>3638.7002130000001</v>
      </c>
      <c r="AE48" s="229">
        <f t="shared" ref="AE48" si="74">+AE49-AE52</f>
        <v>226.98872599999322</v>
      </c>
      <c r="AF48" s="230">
        <f t="shared" ref="AF48" si="75">+AF49-AF52</f>
        <v>-5545.231565</v>
      </c>
      <c r="AG48" s="229">
        <f t="shared" ref="AG48" si="76">+AG49-AG52</f>
        <v>3226.1976619999955</v>
      </c>
      <c r="AH48" s="231">
        <f t="shared" ref="AH48" si="77">+AH49-AH52</f>
        <v>4546.0121530000006</v>
      </c>
      <c r="AI48" s="230">
        <f t="shared" si="72"/>
        <v>0</v>
      </c>
      <c r="AJ48" s="229">
        <f t="shared" si="72"/>
        <v>0</v>
      </c>
      <c r="AK48" s="231">
        <f t="shared" si="72"/>
        <v>0</v>
      </c>
      <c r="AL48" s="229">
        <f t="shared" si="72"/>
        <v>0</v>
      </c>
      <c r="AM48" s="229">
        <f t="shared" si="72"/>
        <v>0</v>
      </c>
      <c r="AN48" s="232">
        <f t="shared" si="72"/>
        <v>0</v>
      </c>
      <c r="AO48" s="115"/>
      <c r="AP48" s="115"/>
      <c r="AQ48" s="115"/>
      <c r="AR48" s="115"/>
      <c r="AS48" s="115"/>
      <c r="AT48" s="115"/>
      <c r="AU48" s="115"/>
      <c r="AV48" s="115"/>
      <c r="AW48" s="115"/>
    </row>
    <row r="49" spans="1:49">
      <c r="A49" s="115">
        <f t="shared" si="44"/>
        <v>38769.012090000004</v>
      </c>
      <c r="B49" s="115">
        <f t="shared" si="45"/>
        <v>29946.521446999992</v>
      </c>
      <c r="C49" s="123"/>
      <c r="D49" s="123"/>
      <c r="E49" s="131" t="s">
        <v>150</v>
      </c>
      <c r="F49" s="122"/>
      <c r="G49" s="122"/>
      <c r="H49" s="204">
        <f t="shared" si="46"/>
        <v>21732.238866000003</v>
      </c>
      <c r="I49" s="205">
        <f t="shared" si="46"/>
        <v>17036.773224</v>
      </c>
      <c r="J49" s="205">
        <f t="shared" si="46"/>
        <v>19564.782585999983</v>
      </c>
      <c r="K49" s="206">
        <f t="shared" si="46"/>
        <v>19545.856199000023</v>
      </c>
      <c r="L49" s="204">
        <f t="shared" si="46"/>
        <v>16574.593605999995</v>
      </c>
      <c r="M49" s="205">
        <f t="shared" si="46"/>
        <v>13371.927840999997</v>
      </c>
      <c r="N49" s="205">
        <f t="shared" si="46"/>
        <v>0</v>
      </c>
      <c r="O49" s="206">
        <f t="shared" si="46"/>
        <v>0</v>
      </c>
      <c r="Q49" s="144">
        <f>+Q50-Q51</f>
        <v>0</v>
      </c>
      <c r="R49" s="125">
        <f t="shared" ref="R49:AN49" si="78">+R50-R51</f>
        <v>0</v>
      </c>
      <c r="S49" s="125">
        <f t="shared" si="78"/>
        <v>21732.238866000003</v>
      </c>
      <c r="T49" s="151">
        <f t="shared" si="78"/>
        <v>0</v>
      </c>
      <c r="U49" s="125">
        <f t="shared" si="78"/>
        <v>0</v>
      </c>
      <c r="V49" s="152">
        <f t="shared" si="78"/>
        <v>17036.773224</v>
      </c>
      <c r="W49" s="151">
        <f t="shared" si="78"/>
        <v>0</v>
      </c>
      <c r="X49" s="125">
        <f t="shared" si="78"/>
        <v>0</v>
      </c>
      <c r="Y49" s="152">
        <f t="shared" si="78"/>
        <v>19564.782585999983</v>
      </c>
      <c r="Z49" s="125">
        <f t="shared" si="78"/>
        <v>0</v>
      </c>
      <c r="AA49" s="125">
        <f t="shared" si="78"/>
        <v>0</v>
      </c>
      <c r="AB49" s="126">
        <f t="shared" si="78"/>
        <v>19545.856199000023</v>
      </c>
      <c r="AC49" s="125">
        <f t="shared" si="78"/>
        <v>5138.7257470000004</v>
      </c>
      <c r="AD49" s="125">
        <f t="shared" ref="AD49" si="79">+AD50-AD51</f>
        <v>5257.2785170000006</v>
      </c>
      <c r="AE49" s="125">
        <f t="shared" ref="AE49" si="80">+AE50-AE51</f>
        <v>6178.5893419999948</v>
      </c>
      <c r="AF49" s="151">
        <f t="shared" ref="AF49" si="81">+AF50-AF51</f>
        <v>-898.94597199999589</v>
      </c>
      <c r="AG49" s="125">
        <f t="shared" ref="AG49" si="82">+AG50-AG51</f>
        <v>5464.2725699999964</v>
      </c>
      <c r="AH49" s="152">
        <f t="shared" ref="AH49" si="83">+AH50-AH51</f>
        <v>8806.6012429999955</v>
      </c>
      <c r="AI49" s="151">
        <f t="shared" si="78"/>
        <v>0</v>
      </c>
      <c r="AJ49" s="125">
        <f t="shared" si="78"/>
        <v>0</v>
      </c>
      <c r="AK49" s="152">
        <f t="shared" si="78"/>
        <v>0</v>
      </c>
      <c r="AL49" s="125">
        <f t="shared" si="78"/>
        <v>0</v>
      </c>
      <c r="AM49" s="125">
        <f t="shared" si="78"/>
        <v>0</v>
      </c>
      <c r="AN49" s="126">
        <f t="shared" si="78"/>
        <v>0</v>
      </c>
      <c r="AO49" s="115"/>
      <c r="AP49" s="115"/>
      <c r="AQ49" s="115"/>
      <c r="AR49" s="115"/>
      <c r="AS49" s="115"/>
      <c r="AT49" s="115"/>
      <c r="AU49" s="115"/>
      <c r="AV49" s="115"/>
      <c r="AW49" s="115"/>
    </row>
    <row r="50" spans="1:49">
      <c r="A50" s="115">
        <f t="shared" si="44"/>
        <v>91298.348406000005</v>
      </c>
      <c r="B50" s="115">
        <f t="shared" si="45"/>
        <v>76306.965791999988</v>
      </c>
      <c r="C50" s="123"/>
      <c r="D50" s="123"/>
      <c r="E50" s="123"/>
      <c r="F50" s="131" t="s">
        <v>162</v>
      </c>
      <c r="G50" s="122"/>
      <c r="H50" s="204">
        <f t="shared" si="46"/>
        <v>46210.477354000002</v>
      </c>
      <c r="I50" s="205">
        <f t="shared" si="46"/>
        <v>45087.871052000002</v>
      </c>
      <c r="J50" s="205">
        <f t="shared" si="46"/>
        <v>40910.997488999979</v>
      </c>
      <c r="K50" s="206">
        <f t="shared" si="46"/>
        <v>39511.566304000029</v>
      </c>
      <c r="L50" s="204">
        <f t="shared" si="46"/>
        <v>36481.038868999996</v>
      </c>
      <c r="M50" s="205">
        <f t="shared" si="46"/>
        <v>39825.926922999992</v>
      </c>
      <c r="N50" s="205">
        <f t="shared" si="46"/>
        <v>0</v>
      </c>
      <c r="O50" s="206">
        <f t="shared" si="46"/>
        <v>0</v>
      </c>
      <c r="Q50" s="143"/>
      <c r="R50" s="132"/>
      <c r="S50" s="132">
        <f>+'[2]실적(당월)'!O8</f>
        <v>46210.477354000002</v>
      </c>
      <c r="T50" s="149"/>
      <c r="U50" s="132"/>
      <c r="V50" s="150">
        <f>+'[2]실적(당월)'!P8</f>
        <v>45087.871052000002</v>
      </c>
      <c r="W50" s="149"/>
      <c r="X50" s="132"/>
      <c r="Y50" s="150">
        <f>+'[2]실적(당월)'!Q8</f>
        <v>40910.997488999979</v>
      </c>
      <c r="Z50" s="132"/>
      <c r="AA50" s="132"/>
      <c r="AB50" s="133">
        <f>+'[2]실적(당월)'!R8</f>
        <v>39511.566304000029</v>
      </c>
      <c r="AC50" s="132">
        <f>+'[2]실적(당월)'!S8</f>
        <v>12229.733106</v>
      </c>
      <c r="AD50" s="132">
        <f>+'[2]실적(당월)'!T8</f>
        <v>11436.575865000001</v>
      </c>
      <c r="AE50" s="132">
        <f>+'[2]실적(당월)'!U8</f>
        <v>12814.729897999996</v>
      </c>
      <c r="AF50" s="149">
        <f>+'[2]실적(당월)'!V8</f>
        <v>12224.320111000003</v>
      </c>
      <c r="AG50" s="132">
        <f>+'[2]실적(당월)'!W8</f>
        <v>13470.390594999997</v>
      </c>
      <c r="AH50" s="150">
        <f>+'[2]실적(당월)'!X8</f>
        <v>14131.216216999997</v>
      </c>
      <c r="AI50" s="149"/>
      <c r="AJ50" s="132"/>
      <c r="AK50" s="150"/>
      <c r="AL50" s="132"/>
      <c r="AM50" s="132"/>
      <c r="AN50" s="133"/>
      <c r="AO50" s="115"/>
      <c r="AP50" s="115"/>
      <c r="AQ50" s="115"/>
      <c r="AR50" s="115"/>
      <c r="AS50" s="115"/>
      <c r="AT50" s="115"/>
      <c r="AU50" s="115"/>
      <c r="AV50" s="115"/>
      <c r="AW50" s="115"/>
    </row>
    <row r="51" spans="1:49">
      <c r="A51" s="115">
        <f t="shared" si="44"/>
        <v>52529.336316000001</v>
      </c>
      <c r="B51" s="115">
        <f t="shared" si="45"/>
        <v>46360.444345000004</v>
      </c>
      <c r="C51" s="123"/>
      <c r="D51" s="123"/>
      <c r="E51" s="123"/>
      <c r="F51" s="123" t="s">
        <v>163</v>
      </c>
      <c r="G51" s="124"/>
      <c r="H51" s="192">
        <f t="shared" si="46"/>
        <v>24478.238487999999</v>
      </c>
      <c r="I51" s="193">
        <f t="shared" si="46"/>
        <v>28051.097828000002</v>
      </c>
      <c r="J51" s="193">
        <f t="shared" si="46"/>
        <v>21346.214902999996</v>
      </c>
      <c r="K51" s="194">
        <f t="shared" si="46"/>
        <v>19965.710105000006</v>
      </c>
      <c r="L51" s="192">
        <f t="shared" si="46"/>
        <v>19906.445263000001</v>
      </c>
      <c r="M51" s="193">
        <f t="shared" si="46"/>
        <v>26453.999082000002</v>
      </c>
      <c r="N51" s="193">
        <f t="shared" si="46"/>
        <v>0</v>
      </c>
      <c r="O51" s="194">
        <f t="shared" si="46"/>
        <v>0</v>
      </c>
      <c r="Q51" s="146"/>
      <c r="R51" s="129"/>
      <c r="S51" s="129">
        <f>+'[2]실적(당월)'!O44</f>
        <v>24478.238487999999</v>
      </c>
      <c r="T51" s="155"/>
      <c r="U51" s="129"/>
      <c r="V51" s="156">
        <f>+'[2]실적(당월)'!P44</f>
        <v>28051.097828000002</v>
      </c>
      <c r="W51" s="155"/>
      <c r="X51" s="129"/>
      <c r="Y51" s="156">
        <f>+'[2]실적(당월)'!Q44</f>
        <v>21346.214902999996</v>
      </c>
      <c r="Z51" s="129"/>
      <c r="AA51" s="129"/>
      <c r="AB51" s="130">
        <f>+'[2]실적(당월)'!R44</f>
        <v>19965.710105000006</v>
      </c>
      <c r="AC51" s="129">
        <f>+'[2]실적(당월)'!S44</f>
        <v>7091.0073589999993</v>
      </c>
      <c r="AD51" s="129">
        <f>+'[2]실적(당월)'!T44</f>
        <v>6179.2973480000001</v>
      </c>
      <c r="AE51" s="129">
        <f>+'[2]실적(당월)'!U44</f>
        <v>6636.1405560000012</v>
      </c>
      <c r="AF51" s="155">
        <f>+'[2]실적(당월)'!V44</f>
        <v>13123.266082999999</v>
      </c>
      <c r="AG51" s="129">
        <f>+'[2]실적(당월)'!W44</f>
        <v>8006.1180250000007</v>
      </c>
      <c r="AH51" s="156">
        <f>+'[2]실적(당월)'!X44</f>
        <v>5324.6149740000019</v>
      </c>
      <c r="AI51" s="155"/>
      <c r="AJ51" s="129"/>
      <c r="AK51" s="156"/>
      <c r="AL51" s="129"/>
      <c r="AM51" s="129"/>
      <c r="AN51" s="130"/>
      <c r="AO51" s="115"/>
      <c r="AP51" s="115"/>
      <c r="AQ51" s="115"/>
      <c r="AR51" s="115"/>
      <c r="AS51" s="115"/>
      <c r="AT51" s="115"/>
      <c r="AU51" s="115"/>
      <c r="AV51" s="115"/>
      <c r="AW51" s="115"/>
    </row>
    <row r="52" spans="1:49">
      <c r="A52" s="115">
        <f t="shared" si="44"/>
        <v>36996.720450000008</v>
      </c>
      <c r="B52" s="115">
        <f t="shared" si="45"/>
        <v>24200.385726</v>
      </c>
      <c r="C52" s="123"/>
      <c r="D52" s="123"/>
      <c r="E52" s="131" t="s">
        <v>164</v>
      </c>
      <c r="F52" s="122"/>
      <c r="G52" s="122"/>
      <c r="H52" s="204">
        <f t="shared" si="46"/>
        <v>19360.058802999996</v>
      </c>
      <c r="I52" s="205">
        <f t="shared" si="46"/>
        <v>17636.661647000008</v>
      </c>
      <c r="J52" s="205">
        <f t="shared" si="46"/>
        <v>21204.372283999983</v>
      </c>
      <c r="K52" s="206">
        <f t="shared" si="46"/>
        <v>29305.290719000019</v>
      </c>
      <c r="L52" s="204">
        <f t="shared" si="46"/>
        <v>13055.436135</v>
      </c>
      <c r="M52" s="205">
        <f t="shared" si="46"/>
        <v>11144.949591000001</v>
      </c>
      <c r="N52" s="205">
        <f t="shared" si="46"/>
        <v>0</v>
      </c>
      <c r="O52" s="206">
        <f t="shared" si="46"/>
        <v>0</v>
      </c>
      <c r="Q52" s="144">
        <f>+Q53-Q54+Q55</f>
        <v>0</v>
      </c>
      <c r="R52" s="125">
        <f t="shared" ref="R52:AN52" si="84">+R53-R54+R55</f>
        <v>0</v>
      </c>
      <c r="S52" s="125">
        <f t="shared" si="84"/>
        <v>19360.058802999996</v>
      </c>
      <c r="T52" s="151">
        <f t="shared" si="84"/>
        <v>0</v>
      </c>
      <c r="U52" s="125">
        <f t="shared" si="84"/>
        <v>0</v>
      </c>
      <c r="V52" s="152">
        <f t="shared" si="84"/>
        <v>17636.661647000008</v>
      </c>
      <c r="W52" s="151">
        <f t="shared" si="84"/>
        <v>0</v>
      </c>
      <c r="X52" s="125">
        <f t="shared" si="84"/>
        <v>0</v>
      </c>
      <c r="Y52" s="152">
        <f t="shared" si="84"/>
        <v>21204.372283999983</v>
      </c>
      <c r="Z52" s="125">
        <f t="shared" si="84"/>
        <v>0</v>
      </c>
      <c r="AA52" s="125">
        <f t="shared" si="84"/>
        <v>0</v>
      </c>
      <c r="AB52" s="126">
        <f t="shared" si="84"/>
        <v>29305.290719000019</v>
      </c>
      <c r="AC52" s="125">
        <f t="shared" si="84"/>
        <v>5485.2572149999969</v>
      </c>
      <c r="AD52" s="125">
        <f t="shared" ref="AD52" si="85">+AD53-AD54+AD55</f>
        <v>1618.5783040000003</v>
      </c>
      <c r="AE52" s="125">
        <f t="shared" ref="AE52" si="86">+AE53-AE54+AE55</f>
        <v>5951.6006160000015</v>
      </c>
      <c r="AF52" s="151">
        <f t="shared" ref="AF52" si="87">+AF53-AF54+AF55</f>
        <v>4646.2855930000042</v>
      </c>
      <c r="AG52" s="125">
        <f t="shared" ref="AG52" si="88">+AG53-AG54+AG55</f>
        <v>2238.074908000001</v>
      </c>
      <c r="AH52" s="152">
        <f t="shared" ref="AH52" si="89">+AH53-AH54+AH55</f>
        <v>4260.5890899999949</v>
      </c>
      <c r="AI52" s="151">
        <f t="shared" si="84"/>
        <v>0</v>
      </c>
      <c r="AJ52" s="125">
        <f t="shared" si="84"/>
        <v>0</v>
      </c>
      <c r="AK52" s="152">
        <f t="shared" si="84"/>
        <v>0</v>
      </c>
      <c r="AL52" s="125">
        <f t="shared" si="84"/>
        <v>0</v>
      </c>
      <c r="AM52" s="125">
        <f t="shared" si="84"/>
        <v>0</v>
      </c>
      <c r="AN52" s="126">
        <f t="shared" si="84"/>
        <v>0</v>
      </c>
      <c r="AO52" s="115"/>
      <c r="AP52" s="115"/>
      <c r="AQ52" s="115"/>
      <c r="AR52" s="115"/>
      <c r="AS52" s="115"/>
      <c r="AT52" s="115"/>
      <c r="AU52" s="115"/>
      <c r="AV52" s="115"/>
      <c r="AW52" s="115"/>
    </row>
    <row r="53" spans="1:49">
      <c r="A53" s="115">
        <f t="shared" si="44"/>
        <v>52734.432895000005</v>
      </c>
      <c r="B53" s="115">
        <f t="shared" si="45"/>
        <v>19520.966669000001</v>
      </c>
      <c r="C53" s="123"/>
      <c r="D53" s="123"/>
      <c r="E53" s="123"/>
      <c r="F53" s="131" t="s">
        <v>152</v>
      </c>
      <c r="G53" s="122"/>
      <c r="H53" s="204">
        <f t="shared" si="46"/>
        <v>30188.119747999997</v>
      </c>
      <c r="I53" s="205">
        <f t="shared" si="46"/>
        <v>22546.313147000008</v>
      </c>
      <c r="J53" s="205">
        <f t="shared" si="46"/>
        <v>6767.5554979999852</v>
      </c>
      <c r="K53" s="206">
        <f t="shared" si="46"/>
        <v>35552.737333000012</v>
      </c>
      <c r="L53" s="204">
        <f t="shared" si="46"/>
        <v>20628.062121999999</v>
      </c>
      <c r="M53" s="205">
        <f t="shared" si="46"/>
        <v>-1107.0954529999999</v>
      </c>
      <c r="N53" s="205">
        <f t="shared" si="46"/>
        <v>0</v>
      </c>
      <c r="O53" s="206">
        <f t="shared" si="46"/>
        <v>0</v>
      </c>
      <c r="Q53" s="143"/>
      <c r="R53" s="132"/>
      <c r="S53" s="132">
        <f>+'[2]실적(당월)'!O10</f>
        <v>30188.119747999997</v>
      </c>
      <c r="T53" s="149"/>
      <c r="U53" s="132"/>
      <c r="V53" s="150">
        <f>+'[2]실적(당월)'!P10</f>
        <v>22546.313147000008</v>
      </c>
      <c r="W53" s="149"/>
      <c r="X53" s="132"/>
      <c r="Y53" s="150">
        <f>+'[2]실적(당월)'!Q10</f>
        <v>6767.5554979999852</v>
      </c>
      <c r="Z53" s="132"/>
      <c r="AA53" s="132"/>
      <c r="AB53" s="133">
        <f>+'[2]실적(당월)'!R10</f>
        <v>35552.737333000012</v>
      </c>
      <c r="AC53" s="132">
        <f>+'[2]실적(당월)'!S10</f>
        <v>12505.096366999998</v>
      </c>
      <c r="AD53" s="132">
        <f>+'[2]실적(당월)'!T10</f>
        <v>-97.8282070000011</v>
      </c>
      <c r="AE53" s="132">
        <f>+'[2]실적(당월)'!U10</f>
        <v>8220.7939620000016</v>
      </c>
      <c r="AF53" s="149">
        <f>+'[2]실적(당월)'!V10</f>
        <v>5215.0869400000038</v>
      </c>
      <c r="AG53" s="132">
        <f>+'[2]실적(당월)'!W10</f>
        <v>-10784.101176</v>
      </c>
      <c r="AH53" s="150">
        <f>+'[2]실적(당월)'!X10</f>
        <v>4461.9187829999964</v>
      </c>
      <c r="AI53" s="149"/>
      <c r="AJ53" s="132"/>
      <c r="AK53" s="150"/>
      <c r="AL53" s="132"/>
      <c r="AM53" s="132"/>
      <c r="AN53" s="133"/>
      <c r="AO53" s="115"/>
      <c r="AP53" s="115"/>
      <c r="AQ53" s="115"/>
      <c r="AR53" s="115"/>
      <c r="AS53" s="115"/>
      <c r="AT53" s="115"/>
      <c r="AU53" s="115"/>
      <c r="AV53" s="115"/>
      <c r="AW53" s="115"/>
    </row>
    <row r="54" spans="1:49">
      <c r="A54" s="115">
        <f t="shared" si="44"/>
        <v>29596.027435999997</v>
      </c>
      <c r="B54" s="115">
        <f t="shared" si="45"/>
        <v>7758.8878269999987</v>
      </c>
      <c r="C54" s="123"/>
      <c r="D54" s="123"/>
      <c r="E54" s="123"/>
      <c r="F54" s="123" t="s">
        <v>165</v>
      </c>
      <c r="G54" s="124"/>
      <c r="H54" s="192">
        <f t="shared" si="46"/>
        <v>17746.576632</v>
      </c>
      <c r="I54" s="193">
        <f t="shared" si="46"/>
        <v>11849.450803999998</v>
      </c>
      <c r="J54" s="193">
        <f t="shared" si="46"/>
        <v>-8016.0418159999981</v>
      </c>
      <c r="K54" s="194">
        <f t="shared" si="46"/>
        <v>12113.401806999995</v>
      </c>
      <c r="L54" s="192">
        <f t="shared" si="46"/>
        <v>13876.128968999999</v>
      </c>
      <c r="M54" s="193">
        <f t="shared" si="46"/>
        <v>-6117.2411420000008</v>
      </c>
      <c r="N54" s="193">
        <f t="shared" si="46"/>
        <v>0</v>
      </c>
      <c r="O54" s="194">
        <f t="shared" si="46"/>
        <v>0</v>
      </c>
      <c r="Q54" s="144"/>
      <c r="R54" s="125"/>
      <c r="S54" s="125">
        <f>+'[2]실적(당월)'!O29</f>
        <v>17746.576632</v>
      </c>
      <c r="T54" s="151"/>
      <c r="U54" s="125"/>
      <c r="V54" s="152">
        <f>+'[2]실적(당월)'!P29</f>
        <v>11849.450803999998</v>
      </c>
      <c r="W54" s="151"/>
      <c r="X54" s="125"/>
      <c r="Y54" s="152">
        <f>+'[2]실적(당월)'!Q29</f>
        <v>-8016.0418159999981</v>
      </c>
      <c r="Z54" s="125"/>
      <c r="AA54" s="125"/>
      <c r="AB54" s="126">
        <f>+'[2]실적(당월)'!R29</f>
        <v>12113.401806999995</v>
      </c>
      <c r="AC54" s="125">
        <f>+'[2]실적(당월)'!S29</f>
        <v>9255.7171050000015</v>
      </c>
      <c r="AD54" s="125">
        <f>+'[2]실적(당월)'!T29</f>
        <v>-90.723732000001689</v>
      </c>
      <c r="AE54" s="125">
        <f>+'[2]실적(당월)'!U29</f>
        <v>4711.1355960000001</v>
      </c>
      <c r="AF54" s="151">
        <f>+'[2]실적(당월)'!V29</f>
        <v>2541.7314619999997</v>
      </c>
      <c r="AG54" s="125">
        <f>+'[2]실적(당월)'!W29</f>
        <v>-11025.744286000001</v>
      </c>
      <c r="AH54" s="152">
        <f>+'[2]실적(당월)'!X29</f>
        <v>2366.7716820000005</v>
      </c>
      <c r="AI54" s="151"/>
      <c r="AJ54" s="125"/>
      <c r="AK54" s="152"/>
      <c r="AL54" s="125"/>
      <c r="AM54" s="125"/>
      <c r="AN54" s="126"/>
      <c r="AO54" s="115"/>
      <c r="AP54" s="115"/>
      <c r="AQ54" s="115"/>
      <c r="AR54" s="115"/>
      <c r="AS54" s="115"/>
      <c r="AT54" s="115"/>
      <c r="AU54" s="115"/>
      <c r="AV54" s="115"/>
      <c r="AW54" s="115"/>
    </row>
    <row r="55" spans="1:49">
      <c r="A55" s="115">
        <f t="shared" si="44"/>
        <v>13858.314990999999</v>
      </c>
      <c r="B55" s="115">
        <f t="shared" si="45"/>
        <v>12438.306884</v>
      </c>
      <c r="C55" s="123"/>
      <c r="D55" s="123"/>
      <c r="E55" s="123"/>
      <c r="F55" s="123" t="s">
        <v>166</v>
      </c>
      <c r="G55" s="124"/>
      <c r="H55" s="192">
        <f t="shared" si="46"/>
        <v>6918.5156870000001</v>
      </c>
      <c r="I55" s="193">
        <f t="shared" si="46"/>
        <v>6939.7993039999992</v>
      </c>
      <c r="J55" s="193">
        <f t="shared" si="46"/>
        <v>6420.7749699999995</v>
      </c>
      <c r="K55" s="194">
        <f t="shared" si="46"/>
        <v>5865.9551930000016</v>
      </c>
      <c r="L55" s="192">
        <f t="shared" si="46"/>
        <v>6303.502982</v>
      </c>
      <c r="M55" s="193">
        <f t="shared" si="46"/>
        <v>6134.8039019999997</v>
      </c>
      <c r="N55" s="193">
        <f t="shared" si="46"/>
        <v>0</v>
      </c>
      <c r="O55" s="194">
        <f t="shared" si="46"/>
        <v>0</v>
      </c>
      <c r="Q55" s="146"/>
      <c r="R55" s="129"/>
      <c r="S55" s="129">
        <f>+'[2]실적(당월)'!O24</f>
        <v>6918.5156870000001</v>
      </c>
      <c r="T55" s="155"/>
      <c r="U55" s="129"/>
      <c r="V55" s="156">
        <f>+'[2]실적(당월)'!P24</f>
        <v>6939.7993039999992</v>
      </c>
      <c r="W55" s="155"/>
      <c r="X55" s="129"/>
      <c r="Y55" s="156">
        <f>+'[2]실적(당월)'!Q24</f>
        <v>6420.7749699999995</v>
      </c>
      <c r="Z55" s="129"/>
      <c r="AA55" s="129"/>
      <c r="AB55" s="130">
        <f>+'[2]실적(당월)'!R24</f>
        <v>5865.9551930000016</v>
      </c>
      <c r="AC55" s="129">
        <f>+'[2]실적(당월)'!S24</f>
        <v>2235.8779530000002</v>
      </c>
      <c r="AD55" s="129">
        <f>+'[2]실적(당월)'!T24</f>
        <v>1625.6827789999998</v>
      </c>
      <c r="AE55" s="129">
        <f>+'[2]실적(당월)'!U24</f>
        <v>2441.9422500000001</v>
      </c>
      <c r="AF55" s="155">
        <f>+'[2]실적(당월)'!V24</f>
        <v>1972.9301150000001</v>
      </c>
      <c r="AG55" s="129">
        <f>+'[2]실적(당월)'!W24</f>
        <v>1996.4317980000001</v>
      </c>
      <c r="AH55" s="156">
        <f>+'[2]실적(당월)'!X24</f>
        <v>2165.441988999999</v>
      </c>
      <c r="AI55" s="155"/>
      <c r="AJ55" s="129"/>
      <c r="AK55" s="156"/>
      <c r="AL55" s="129"/>
      <c r="AM55" s="129"/>
      <c r="AN55" s="130"/>
      <c r="AO55" s="115"/>
      <c r="AP55" s="115"/>
      <c r="AQ55" s="115"/>
      <c r="AR55" s="115"/>
      <c r="AS55" s="115"/>
      <c r="AT55" s="115"/>
      <c r="AU55" s="115"/>
      <c r="AV55" s="115"/>
      <c r="AW55" s="115"/>
    </row>
    <row r="56" spans="1:49">
      <c r="A56" s="115">
        <f t="shared" si="44"/>
        <v>2930.473539000006</v>
      </c>
      <c r="B56" s="115">
        <f t="shared" si="45"/>
        <v>1123.087617000001</v>
      </c>
      <c r="C56" s="123"/>
      <c r="D56" s="171" t="s">
        <v>176</v>
      </c>
      <c r="E56" s="172"/>
      <c r="F56" s="172"/>
      <c r="G56" s="172"/>
      <c r="H56" s="189">
        <f t="shared" si="46"/>
        <v>2227.6262130000032</v>
      </c>
      <c r="I56" s="190">
        <f t="shared" si="46"/>
        <v>702.84732600000279</v>
      </c>
      <c r="J56" s="190">
        <f t="shared" si="46"/>
        <v>2386.6447069999958</v>
      </c>
      <c r="K56" s="191">
        <f t="shared" si="46"/>
        <v>-10100.779932999998</v>
      </c>
      <c r="L56" s="189">
        <f t="shared" si="46"/>
        <v>1873.7819319999981</v>
      </c>
      <c r="M56" s="190">
        <f t="shared" si="46"/>
        <v>-750.694314999997</v>
      </c>
      <c r="N56" s="190">
        <f t="shared" si="46"/>
        <v>0</v>
      </c>
      <c r="O56" s="191">
        <f t="shared" si="46"/>
        <v>0</v>
      </c>
      <c r="Q56" s="228">
        <f>+Q57-Q60</f>
        <v>0</v>
      </c>
      <c r="R56" s="229">
        <f t="shared" ref="R56:AN56" si="90">+R57-R60</f>
        <v>0</v>
      </c>
      <c r="S56" s="229">
        <f t="shared" si="90"/>
        <v>2227.6262130000032</v>
      </c>
      <c r="T56" s="230">
        <f t="shared" si="90"/>
        <v>0</v>
      </c>
      <c r="U56" s="229">
        <f t="shared" si="90"/>
        <v>0</v>
      </c>
      <c r="V56" s="231">
        <f t="shared" si="90"/>
        <v>702.84732600000279</v>
      </c>
      <c r="W56" s="230">
        <f t="shared" si="90"/>
        <v>0</v>
      </c>
      <c r="X56" s="229">
        <f t="shared" si="90"/>
        <v>0</v>
      </c>
      <c r="Y56" s="231">
        <f t="shared" si="90"/>
        <v>2386.6447069999958</v>
      </c>
      <c r="Z56" s="229">
        <f t="shared" si="90"/>
        <v>0</v>
      </c>
      <c r="AA56" s="229">
        <f t="shared" si="90"/>
        <v>0</v>
      </c>
      <c r="AB56" s="232">
        <f t="shared" si="90"/>
        <v>-10100.779932999998</v>
      </c>
      <c r="AC56" s="229">
        <f t="shared" si="90"/>
        <v>-372.03407899999911</v>
      </c>
      <c r="AD56" s="229">
        <f t="shared" ref="AD56" si="91">+AD57-AD60</f>
        <v>222.18137199999728</v>
      </c>
      <c r="AE56" s="229">
        <f t="shared" ref="AE56" si="92">+AE57-AE60</f>
        <v>2023.6346389999999</v>
      </c>
      <c r="AF56" s="230">
        <f t="shared" ref="AF56" si="93">+AF57-AF60</f>
        <v>-388.11681999999564</v>
      </c>
      <c r="AG56" s="229">
        <f t="shared" ref="AG56" si="94">+AG57-AG60</f>
        <v>-275.12277600000016</v>
      </c>
      <c r="AH56" s="231">
        <f t="shared" ref="AH56" si="95">+AH57-AH60</f>
        <v>-87.454719000001205</v>
      </c>
      <c r="AI56" s="230">
        <f t="shared" si="90"/>
        <v>0</v>
      </c>
      <c r="AJ56" s="229">
        <f t="shared" si="90"/>
        <v>0</v>
      </c>
      <c r="AK56" s="231">
        <f t="shared" si="90"/>
        <v>0</v>
      </c>
      <c r="AL56" s="229">
        <f t="shared" si="90"/>
        <v>0</v>
      </c>
      <c r="AM56" s="229">
        <f t="shared" si="90"/>
        <v>0</v>
      </c>
      <c r="AN56" s="232">
        <f t="shared" si="90"/>
        <v>0</v>
      </c>
      <c r="AO56" s="115"/>
      <c r="AP56" s="115"/>
      <c r="AQ56" s="115"/>
      <c r="AR56" s="115"/>
      <c r="AS56" s="115"/>
      <c r="AT56" s="115"/>
      <c r="AU56" s="115"/>
      <c r="AV56" s="115"/>
      <c r="AW56" s="115"/>
    </row>
    <row r="57" spans="1:49">
      <c r="A57" s="115">
        <f t="shared" si="44"/>
        <v>72357.062398000009</v>
      </c>
      <c r="B57" s="115">
        <f t="shared" si="45"/>
        <v>56392.588655000007</v>
      </c>
      <c r="C57" s="123"/>
      <c r="D57" s="123"/>
      <c r="E57" s="131" t="s">
        <v>150</v>
      </c>
      <c r="F57" s="122"/>
      <c r="G57" s="122"/>
      <c r="H57" s="204">
        <f t="shared" si="46"/>
        <v>37484.886563</v>
      </c>
      <c r="I57" s="205">
        <f t="shared" si="46"/>
        <v>34872.175835000009</v>
      </c>
      <c r="J57" s="205">
        <f t="shared" si="46"/>
        <v>33244.084344999996</v>
      </c>
      <c r="K57" s="206">
        <f t="shared" si="46"/>
        <v>30807.294104999986</v>
      </c>
      <c r="L57" s="204">
        <f t="shared" si="46"/>
        <v>28141.629730999997</v>
      </c>
      <c r="M57" s="205">
        <f t="shared" si="46"/>
        <v>28250.95892400001</v>
      </c>
      <c r="N57" s="205">
        <f t="shared" si="46"/>
        <v>0</v>
      </c>
      <c r="O57" s="206">
        <f t="shared" si="46"/>
        <v>0</v>
      </c>
      <c r="Q57" s="144">
        <f>+Q58-Q59</f>
        <v>0</v>
      </c>
      <c r="R57" s="125">
        <f t="shared" ref="R57:AN57" si="96">+R58-R59</f>
        <v>0</v>
      </c>
      <c r="S57" s="125">
        <f t="shared" si="96"/>
        <v>37484.886563</v>
      </c>
      <c r="T57" s="151">
        <f t="shared" si="96"/>
        <v>0</v>
      </c>
      <c r="U57" s="125">
        <f t="shared" si="96"/>
        <v>0</v>
      </c>
      <c r="V57" s="152">
        <f t="shared" si="96"/>
        <v>34872.175835000009</v>
      </c>
      <c r="W57" s="151">
        <f t="shared" si="96"/>
        <v>0</v>
      </c>
      <c r="X57" s="125">
        <f t="shared" si="96"/>
        <v>0</v>
      </c>
      <c r="Y57" s="152">
        <f t="shared" si="96"/>
        <v>33244.084344999996</v>
      </c>
      <c r="Z57" s="125">
        <f t="shared" si="96"/>
        <v>0</v>
      </c>
      <c r="AA57" s="125">
        <f t="shared" si="96"/>
        <v>0</v>
      </c>
      <c r="AB57" s="126">
        <f t="shared" si="96"/>
        <v>30807.294104999986</v>
      </c>
      <c r="AC57" s="125">
        <f t="shared" si="96"/>
        <v>9760.7528469999997</v>
      </c>
      <c r="AD57" s="125">
        <f t="shared" ref="AD57" si="97">+AD58-AD59</f>
        <v>8678.2807459999985</v>
      </c>
      <c r="AE57" s="125">
        <f t="shared" ref="AE57" si="98">+AE58-AE59</f>
        <v>9702.5961379999972</v>
      </c>
      <c r="AF57" s="151">
        <f t="shared" ref="AF57" si="99">+AF58-AF59</f>
        <v>9112.592311000004</v>
      </c>
      <c r="AG57" s="125">
        <f t="shared" ref="AG57" si="100">+AG58-AG59</f>
        <v>9729.7421069999982</v>
      </c>
      <c r="AH57" s="152">
        <f t="shared" ref="AH57" si="101">+AH58-AH59</f>
        <v>9408.6245060000074</v>
      </c>
      <c r="AI57" s="151">
        <f t="shared" si="96"/>
        <v>0</v>
      </c>
      <c r="AJ57" s="125">
        <f t="shared" si="96"/>
        <v>0</v>
      </c>
      <c r="AK57" s="152">
        <f t="shared" si="96"/>
        <v>0</v>
      </c>
      <c r="AL57" s="125">
        <f t="shared" si="96"/>
        <v>0</v>
      </c>
      <c r="AM57" s="125">
        <f t="shared" si="96"/>
        <v>0</v>
      </c>
      <c r="AN57" s="126">
        <f t="shared" si="96"/>
        <v>0</v>
      </c>
      <c r="AO57" s="115"/>
      <c r="AP57" s="115"/>
      <c r="AQ57" s="115"/>
      <c r="AR57" s="115"/>
      <c r="AS57" s="115"/>
      <c r="AT57" s="115"/>
      <c r="AU57" s="115"/>
      <c r="AV57" s="115"/>
      <c r="AW57" s="115"/>
    </row>
    <row r="58" spans="1:49">
      <c r="A58" s="115">
        <f t="shared" si="44"/>
        <v>81236.359372000006</v>
      </c>
      <c r="B58" s="115">
        <f t="shared" si="45"/>
        <v>62538.315394000005</v>
      </c>
      <c r="C58" s="123"/>
      <c r="D58" s="123"/>
      <c r="E58" s="123"/>
      <c r="F58" s="131" t="s">
        <v>162</v>
      </c>
      <c r="G58" s="122"/>
      <c r="H58" s="204">
        <f t="shared" si="46"/>
        <v>41909.242607</v>
      </c>
      <c r="I58" s="205">
        <f t="shared" si="46"/>
        <v>39327.116765000006</v>
      </c>
      <c r="J58" s="205">
        <f t="shared" si="46"/>
        <v>37620.979526999996</v>
      </c>
      <c r="K58" s="206">
        <f t="shared" si="46"/>
        <v>34997.132332999987</v>
      </c>
      <c r="L58" s="204">
        <f t="shared" si="46"/>
        <v>31619.311735999996</v>
      </c>
      <c r="M58" s="205">
        <f t="shared" si="46"/>
        <v>30919.003658000009</v>
      </c>
      <c r="N58" s="205">
        <f t="shared" si="46"/>
        <v>0</v>
      </c>
      <c r="O58" s="206">
        <f t="shared" si="46"/>
        <v>0</v>
      </c>
      <c r="Q58" s="143"/>
      <c r="R58" s="132"/>
      <c r="S58" s="132">
        <f>+'[2]실적(당월)'!O48</f>
        <v>41909.242607</v>
      </c>
      <c r="T58" s="149"/>
      <c r="U58" s="132"/>
      <c r="V58" s="150">
        <f>+'[2]실적(당월)'!P48</f>
        <v>39327.116765000006</v>
      </c>
      <c r="W58" s="149"/>
      <c r="X58" s="132"/>
      <c r="Y58" s="150">
        <f>+'[2]실적(당월)'!Q48</f>
        <v>37620.979526999996</v>
      </c>
      <c r="Z58" s="132"/>
      <c r="AA58" s="132"/>
      <c r="AB58" s="133">
        <f>+'[2]실적(당월)'!R48</f>
        <v>34997.132332999987</v>
      </c>
      <c r="AC58" s="132">
        <f>+'[2]실적(당월)'!S48</f>
        <v>11075.514020999999</v>
      </c>
      <c r="AD58" s="132">
        <f>+'[2]실적(당월)'!T48</f>
        <v>9778.5378399999991</v>
      </c>
      <c r="AE58" s="132">
        <f>+'[2]실적(당월)'!U48</f>
        <v>10765.259874999998</v>
      </c>
      <c r="AF58" s="149">
        <f>+'[2]실적(당월)'!V48</f>
        <v>10054.011072000003</v>
      </c>
      <c r="AG58" s="132">
        <f>+'[2]실적(당월)'!W48</f>
        <v>10671.758086</v>
      </c>
      <c r="AH58" s="150">
        <f>+'[2]실적(당월)'!X48</f>
        <v>10193.234500000006</v>
      </c>
      <c r="AI58" s="149"/>
      <c r="AJ58" s="132"/>
      <c r="AK58" s="150"/>
      <c r="AL58" s="132"/>
      <c r="AM58" s="132"/>
      <c r="AN58" s="133"/>
      <c r="AO58" s="115"/>
      <c r="AP58" s="115"/>
      <c r="AQ58" s="115"/>
      <c r="AR58" s="115"/>
      <c r="AS58" s="115"/>
      <c r="AT58" s="115"/>
      <c r="AU58" s="115"/>
      <c r="AV58" s="115"/>
      <c r="AW58" s="115"/>
    </row>
    <row r="59" spans="1:49">
      <c r="A59" s="115">
        <f t="shared" si="44"/>
        <v>8879.2969740000008</v>
      </c>
      <c r="B59" s="115">
        <f t="shared" si="45"/>
        <v>6145.7267389999997</v>
      </c>
      <c r="C59" s="123"/>
      <c r="D59" s="123"/>
      <c r="E59" s="123"/>
      <c r="F59" s="123" t="s">
        <v>163</v>
      </c>
      <c r="G59" s="124"/>
      <c r="H59" s="192">
        <f t="shared" si="46"/>
        <v>4424.3560440000001</v>
      </c>
      <c r="I59" s="193">
        <f t="shared" si="46"/>
        <v>4454.9409299999998</v>
      </c>
      <c r="J59" s="193">
        <f t="shared" si="46"/>
        <v>4376.8951820000002</v>
      </c>
      <c r="K59" s="194">
        <f t="shared" si="46"/>
        <v>4189.8382279999996</v>
      </c>
      <c r="L59" s="192">
        <f t="shared" si="46"/>
        <v>3477.6820049999997</v>
      </c>
      <c r="M59" s="193">
        <f t="shared" si="46"/>
        <v>2668.0447340000001</v>
      </c>
      <c r="N59" s="193">
        <f t="shared" si="46"/>
        <v>0</v>
      </c>
      <c r="O59" s="194">
        <f t="shared" si="46"/>
        <v>0</v>
      </c>
      <c r="Q59" s="146"/>
      <c r="R59" s="129"/>
      <c r="S59" s="129">
        <f>+'[2]실적(당월)'!O84</f>
        <v>4424.3560440000001</v>
      </c>
      <c r="T59" s="155"/>
      <c r="U59" s="129"/>
      <c r="V59" s="156">
        <f>+'[2]실적(당월)'!P84</f>
        <v>4454.9409299999998</v>
      </c>
      <c r="W59" s="155"/>
      <c r="X59" s="129"/>
      <c r="Y59" s="156">
        <f>+'[2]실적(당월)'!Q84</f>
        <v>4376.8951820000002</v>
      </c>
      <c r="Z59" s="129"/>
      <c r="AA59" s="129"/>
      <c r="AB59" s="130">
        <f>+'[2]실적(당월)'!R84</f>
        <v>4189.8382279999996</v>
      </c>
      <c r="AC59" s="129">
        <f>+'[2]실적(당월)'!S84</f>
        <v>1314.761174</v>
      </c>
      <c r="AD59" s="129">
        <f>+'[2]실적(당월)'!T84</f>
        <v>1100.2570940000001</v>
      </c>
      <c r="AE59" s="129">
        <f>+'[2]실적(당월)'!U84</f>
        <v>1062.6637369999999</v>
      </c>
      <c r="AF59" s="155">
        <f>+'[2]실적(당월)'!V84</f>
        <v>941.4187609999999</v>
      </c>
      <c r="AG59" s="129">
        <f>+'[2]실적(당월)'!W84</f>
        <v>942.0159790000007</v>
      </c>
      <c r="AH59" s="156">
        <f>+'[2]실적(당월)'!X84</f>
        <v>784.60999399999946</v>
      </c>
      <c r="AI59" s="155"/>
      <c r="AJ59" s="129"/>
      <c r="AK59" s="156"/>
      <c r="AL59" s="129"/>
      <c r="AM59" s="129"/>
      <c r="AN59" s="130"/>
      <c r="AO59" s="115"/>
      <c r="AP59" s="115"/>
      <c r="AQ59" s="115"/>
      <c r="AR59" s="115"/>
      <c r="AS59" s="115"/>
      <c r="AT59" s="115"/>
      <c r="AU59" s="115"/>
      <c r="AV59" s="115"/>
      <c r="AW59" s="115"/>
    </row>
    <row r="60" spans="1:49">
      <c r="A60" s="115">
        <f t="shared" si="44"/>
        <v>69426.58885900001</v>
      </c>
      <c r="B60" s="115">
        <f t="shared" si="45"/>
        <v>55269.501038000002</v>
      </c>
      <c r="C60" s="123"/>
      <c r="D60" s="123"/>
      <c r="E60" s="131" t="s">
        <v>164</v>
      </c>
      <c r="F60" s="122"/>
      <c r="G60" s="122"/>
      <c r="H60" s="204">
        <f t="shared" si="46"/>
        <v>35257.260349999997</v>
      </c>
      <c r="I60" s="205">
        <f t="shared" si="46"/>
        <v>34169.328509000006</v>
      </c>
      <c r="J60" s="205">
        <f t="shared" si="46"/>
        <v>30857.439638</v>
      </c>
      <c r="K60" s="206">
        <f t="shared" si="46"/>
        <v>40908.074037999984</v>
      </c>
      <c r="L60" s="204">
        <f t="shared" si="46"/>
        <v>26267.847798999996</v>
      </c>
      <c r="M60" s="205">
        <f t="shared" si="46"/>
        <v>29001.653239000007</v>
      </c>
      <c r="N60" s="205">
        <f t="shared" si="46"/>
        <v>0</v>
      </c>
      <c r="O60" s="206">
        <f t="shared" si="46"/>
        <v>0</v>
      </c>
      <c r="Q60" s="144">
        <f>+Q61-Q62+Q63</f>
        <v>0</v>
      </c>
      <c r="R60" s="125">
        <f t="shared" ref="R60" si="102">+R61-R62+R63</f>
        <v>0</v>
      </c>
      <c r="S60" s="125">
        <f t="shared" ref="S60" si="103">+S61-S62+S63</f>
        <v>35257.260349999997</v>
      </c>
      <c r="T60" s="151">
        <f t="shared" ref="T60" si="104">+T61-T62+T63</f>
        <v>0</v>
      </c>
      <c r="U60" s="125">
        <f t="shared" ref="U60:V60" si="105">+U61-U62+U63</f>
        <v>0</v>
      </c>
      <c r="V60" s="152">
        <f t="shared" si="105"/>
        <v>34169.328509000006</v>
      </c>
      <c r="W60" s="151">
        <f t="shared" ref="W60" si="106">+W61-W62+W63</f>
        <v>0</v>
      </c>
      <c r="X60" s="125">
        <f t="shared" ref="X60:Y60" si="107">+X61-X62+X63</f>
        <v>0</v>
      </c>
      <c r="Y60" s="152">
        <f t="shared" si="107"/>
        <v>30857.439638</v>
      </c>
      <c r="Z60" s="125">
        <f t="shared" ref="Z60" si="108">+Z61-Z62+Z63</f>
        <v>0</v>
      </c>
      <c r="AA60" s="125">
        <f t="shared" ref="AA60:AC60" si="109">+AA61-AA62+AA63</f>
        <v>0</v>
      </c>
      <c r="AB60" s="126">
        <f t="shared" si="109"/>
        <v>40908.074037999984</v>
      </c>
      <c r="AC60" s="125">
        <f t="shared" si="109"/>
        <v>10132.786925999999</v>
      </c>
      <c r="AD60" s="125">
        <f t="shared" ref="AD60" si="110">+AD61-AD62+AD63</f>
        <v>8456.0993740000013</v>
      </c>
      <c r="AE60" s="125">
        <f t="shared" ref="AE60" si="111">+AE61-AE62+AE63</f>
        <v>7678.9614989999973</v>
      </c>
      <c r="AF60" s="151">
        <f t="shared" ref="AF60" si="112">+AF61-AF62+AF63</f>
        <v>9500.7091309999996</v>
      </c>
      <c r="AG60" s="125">
        <f t="shared" ref="AG60" si="113">+AG61-AG62+AG63</f>
        <v>10004.864882999998</v>
      </c>
      <c r="AH60" s="152">
        <f t="shared" ref="AH60" si="114">+AH61-AH62+AH63</f>
        <v>9496.0792250000086</v>
      </c>
      <c r="AI60" s="151">
        <f t="shared" ref="AI60" si="115">+AI61-AI62+AI63</f>
        <v>0</v>
      </c>
      <c r="AJ60" s="125">
        <f t="shared" ref="AJ60" si="116">+AJ61-AJ62+AJ63</f>
        <v>0</v>
      </c>
      <c r="AK60" s="152">
        <f t="shared" ref="AK60" si="117">+AK61-AK62+AK63</f>
        <v>0</v>
      </c>
      <c r="AL60" s="125">
        <f t="shared" ref="AL60" si="118">+AL61-AL62+AL63</f>
        <v>0</v>
      </c>
      <c r="AM60" s="125">
        <f t="shared" ref="AM60" si="119">+AM61-AM62+AM63</f>
        <v>0</v>
      </c>
      <c r="AN60" s="126">
        <f t="shared" ref="AN60" si="120">+AN61-AN62+AN63</f>
        <v>0</v>
      </c>
      <c r="AO60" s="115"/>
      <c r="AP60" s="115"/>
      <c r="AQ60" s="115"/>
      <c r="AR60" s="115"/>
      <c r="AS60" s="115"/>
      <c r="AT60" s="115"/>
      <c r="AU60" s="115"/>
      <c r="AV60" s="115"/>
      <c r="AW60" s="115"/>
    </row>
    <row r="61" spans="1:49">
      <c r="A61" s="115">
        <f t="shared" si="44"/>
        <v>59453.704553000003</v>
      </c>
      <c r="B61" s="115">
        <f t="shared" si="45"/>
        <v>44447.041357000002</v>
      </c>
      <c r="C61" s="123"/>
      <c r="D61" s="123"/>
      <c r="E61" s="123"/>
      <c r="F61" s="131" t="s">
        <v>151</v>
      </c>
      <c r="G61" s="122"/>
      <c r="H61" s="204">
        <f t="shared" si="46"/>
        <v>30512.722933000001</v>
      </c>
      <c r="I61" s="205">
        <f t="shared" si="46"/>
        <v>28940.981620000006</v>
      </c>
      <c r="J61" s="205">
        <f t="shared" si="46"/>
        <v>27730.012063000002</v>
      </c>
      <c r="K61" s="206">
        <f t="shared" si="46"/>
        <v>37819.826428999986</v>
      </c>
      <c r="L61" s="204">
        <f t="shared" si="46"/>
        <v>20245.942300999995</v>
      </c>
      <c r="M61" s="205">
        <f t="shared" si="46"/>
        <v>24201.099056000006</v>
      </c>
      <c r="N61" s="205">
        <f t="shared" si="46"/>
        <v>0</v>
      </c>
      <c r="O61" s="206">
        <f t="shared" si="46"/>
        <v>0</v>
      </c>
      <c r="Q61" s="143"/>
      <c r="R61" s="132"/>
      <c r="S61" s="132">
        <f>+'[2]실적(당월)'!O50</f>
        <v>30512.722933000001</v>
      </c>
      <c r="T61" s="149"/>
      <c r="U61" s="132"/>
      <c r="V61" s="150">
        <f>+'[2]실적(당월)'!P50</f>
        <v>28940.981620000006</v>
      </c>
      <c r="W61" s="149"/>
      <c r="X61" s="132"/>
      <c r="Y61" s="150">
        <f>+'[2]실적(당월)'!Q50</f>
        <v>27730.012063000002</v>
      </c>
      <c r="Z61" s="132"/>
      <c r="AA61" s="132"/>
      <c r="AB61" s="133">
        <f>+'[2]실적(당월)'!R50</f>
        <v>37819.826428999986</v>
      </c>
      <c r="AC61" s="132">
        <f>+'[2]실적(당월)'!S50</f>
        <v>7980.3227919999999</v>
      </c>
      <c r="AD61" s="132">
        <f>+'[2]실적(당월)'!T50</f>
        <v>7494.1659149999996</v>
      </c>
      <c r="AE61" s="132">
        <f>+'[2]실적(당월)'!U50</f>
        <v>4771.4535939999969</v>
      </c>
      <c r="AF61" s="149">
        <f>+'[2]실적(당월)'!V50</f>
        <v>8134.1104149999992</v>
      </c>
      <c r="AG61" s="132">
        <f>+'[2]실적(당월)'!W50</f>
        <v>8177.3665439999977</v>
      </c>
      <c r="AH61" s="150">
        <f>+'[2]실적(당월)'!X50</f>
        <v>7889.6220970000086</v>
      </c>
      <c r="AI61" s="149"/>
      <c r="AJ61" s="132"/>
      <c r="AK61" s="150"/>
      <c r="AL61" s="132"/>
      <c r="AM61" s="132"/>
      <c r="AN61" s="133"/>
      <c r="AO61" s="115"/>
      <c r="AP61" s="115"/>
      <c r="AQ61" s="115"/>
      <c r="AR61" s="115"/>
      <c r="AS61" s="115"/>
      <c r="AT61" s="115"/>
      <c r="AU61" s="115"/>
      <c r="AV61" s="115"/>
      <c r="AW61" s="115"/>
    </row>
    <row r="62" spans="1:49">
      <c r="A62" s="115">
        <f t="shared" si="44"/>
        <v>5471.7656820000011</v>
      </c>
      <c r="B62" s="115">
        <f t="shared" si="45"/>
        <v>3906.2626670000004</v>
      </c>
      <c r="C62" s="123"/>
      <c r="D62" s="123"/>
      <c r="E62" s="123"/>
      <c r="F62" s="123" t="s">
        <v>165</v>
      </c>
      <c r="G62" s="124"/>
      <c r="H62" s="192">
        <f t="shared" si="46"/>
        <v>2937.2016560000002</v>
      </c>
      <c r="I62" s="193">
        <f t="shared" si="46"/>
        <v>2534.5640260000014</v>
      </c>
      <c r="J62" s="193">
        <f t="shared" si="46"/>
        <v>4388.8484550000003</v>
      </c>
      <c r="K62" s="194">
        <f t="shared" si="46"/>
        <v>4472.2886869999984</v>
      </c>
      <c r="L62" s="192">
        <f t="shared" si="46"/>
        <v>1742.9281329999994</v>
      </c>
      <c r="M62" s="193">
        <f t="shared" si="46"/>
        <v>2163.334534000001</v>
      </c>
      <c r="N62" s="193">
        <f t="shared" si="46"/>
        <v>0</v>
      </c>
      <c r="O62" s="194">
        <f t="shared" si="46"/>
        <v>0</v>
      </c>
      <c r="Q62" s="144"/>
      <c r="R62" s="125"/>
      <c r="S62" s="125">
        <f>+'[2]실적(당월)'!O69</f>
        <v>2937.2016560000002</v>
      </c>
      <c r="T62" s="151"/>
      <c r="U62" s="125"/>
      <c r="V62" s="152">
        <f>+'[2]실적(당월)'!P69</f>
        <v>2534.5640260000014</v>
      </c>
      <c r="W62" s="151"/>
      <c r="X62" s="125"/>
      <c r="Y62" s="152">
        <f>+'[2]실적(당월)'!Q69</f>
        <v>4388.8484550000003</v>
      </c>
      <c r="Z62" s="125"/>
      <c r="AA62" s="125"/>
      <c r="AB62" s="126">
        <f>+'[2]실적(당월)'!R69</f>
        <v>4472.2886869999984</v>
      </c>
      <c r="AC62" s="125">
        <f>+'[2]실적(당월)'!S69</f>
        <v>316.99739999999991</v>
      </c>
      <c r="AD62" s="125">
        <f>+'[2]실적(당월)'!T69</f>
        <v>1312.2914839999996</v>
      </c>
      <c r="AE62" s="125">
        <f>+'[2]실적(당월)'!U69</f>
        <v>113.63924899999986</v>
      </c>
      <c r="AF62" s="151">
        <f>+'[2]실적(당월)'!V69</f>
        <v>871.38598900000056</v>
      </c>
      <c r="AG62" s="125">
        <f>+'[2]실적(당월)'!W69</f>
        <v>792.96039699999835</v>
      </c>
      <c r="AH62" s="152">
        <f>+'[2]실적(당월)'!X69</f>
        <v>498.9881480000023</v>
      </c>
      <c r="AI62" s="151"/>
      <c r="AJ62" s="125"/>
      <c r="AK62" s="152"/>
      <c r="AL62" s="125"/>
      <c r="AM62" s="125"/>
      <c r="AN62" s="126"/>
      <c r="AO62" s="115"/>
      <c r="AP62" s="115"/>
      <c r="AQ62" s="115"/>
      <c r="AR62" s="115"/>
      <c r="AS62" s="115"/>
      <c r="AT62" s="115"/>
      <c r="AU62" s="115"/>
      <c r="AV62" s="115"/>
      <c r="AW62" s="115"/>
    </row>
    <row r="63" spans="1:49">
      <c r="A63" s="115">
        <f t="shared" si="44"/>
        <v>15444.649988000001</v>
      </c>
      <c r="B63" s="115">
        <f t="shared" si="45"/>
        <v>14728.722347999999</v>
      </c>
      <c r="C63" s="123"/>
      <c r="D63" s="123"/>
      <c r="E63" s="123"/>
      <c r="F63" s="123" t="s">
        <v>166</v>
      </c>
      <c r="G63" s="124"/>
      <c r="H63" s="192">
        <f t="shared" si="46"/>
        <v>7681.7390729999997</v>
      </c>
      <c r="I63" s="193">
        <f t="shared" si="46"/>
        <v>7762.9109150000004</v>
      </c>
      <c r="J63" s="193">
        <f t="shared" si="46"/>
        <v>7516.2760299999982</v>
      </c>
      <c r="K63" s="194">
        <f t="shared" si="46"/>
        <v>7560.5362960000002</v>
      </c>
      <c r="L63" s="192">
        <f t="shared" si="46"/>
        <v>7764.8336309999995</v>
      </c>
      <c r="M63" s="193">
        <f t="shared" si="46"/>
        <v>6963.8887170000007</v>
      </c>
      <c r="N63" s="193">
        <f t="shared" si="46"/>
        <v>0</v>
      </c>
      <c r="O63" s="194">
        <f t="shared" ref="O63:O74" si="121">+SUMIFS($Q63:$AN63,$Q$8:$AN$8,O$8,$Q$9:$AN$9,O$9)</f>
        <v>0</v>
      </c>
      <c r="Q63" s="146"/>
      <c r="R63" s="129"/>
      <c r="S63" s="129">
        <f>+'[2]실적(당월)'!O64</f>
        <v>7681.7390729999997</v>
      </c>
      <c r="T63" s="155"/>
      <c r="U63" s="129"/>
      <c r="V63" s="156">
        <f>+'[2]실적(당월)'!P64</f>
        <v>7762.9109150000004</v>
      </c>
      <c r="W63" s="155"/>
      <c r="X63" s="129"/>
      <c r="Y63" s="156">
        <f>+'[2]실적(당월)'!Q64</f>
        <v>7516.2760299999982</v>
      </c>
      <c r="Z63" s="129"/>
      <c r="AA63" s="129"/>
      <c r="AB63" s="130">
        <f>+'[2]실적(당월)'!R64</f>
        <v>7560.5362960000002</v>
      </c>
      <c r="AC63" s="129">
        <f>+'[2]실적(당월)'!S64</f>
        <v>2469.4615339999996</v>
      </c>
      <c r="AD63" s="129">
        <f>+'[2]실적(당월)'!T64</f>
        <v>2274.2249430000002</v>
      </c>
      <c r="AE63" s="129">
        <f>+'[2]실적(당월)'!U64</f>
        <v>3021.1471540000002</v>
      </c>
      <c r="AF63" s="155">
        <f>+'[2]실적(당월)'!V64</f>
        <v>2237.9847049999998</v>
      </c>
      <c r="AG63" s="129">
        <f>+'[2]실적(당월)'!W64</f>
        <v>2620.4587359999996</v>
      </c>
      <c r="AH63" s="156">
        <f>+'[2]실적(당월)'!X64</f>
        <v>2105.4452760000013</v>
      </c>
      <c r="AI63" s="155"/>
      <c r="AJ63" s="129"/>
      <c r="AK63" s="156"/>
      <c r="AL63" s="129"/>
      <c r="AM63" s="129"/>
      <c r="AN63" s="130"/>
      <c r="AO63" s="115"/>
      <c r="AP63" s="115"/>
      <c r="AQ63" s="115"/>
      <c r="AR63" s="115"/>
      <c r="AS63" s="115"/>
      <c r="AT63" s="115"/>
      <c r="AU63" s="115"/>
      <c r="AV63" s="115"/>
      <c r="AW63" s="115"/>
    </row>
    <row r="64" spans="1:49">
      <c r="A64" s="115">
        <f t="shared" si="44"/>
        <v>-90593.109265000021</v>
      </c>
      <c r="B64" s="115">
        <f t="shared" si="45"/>
        <v>49559.293107000085</v>
      </c>
      <c r="C64" s="164" t="s">
        <v>167</v>
      </c>
      <c r="D64" s="165"/>
      <c r="E64" s="165"/>
      <c r="F64" s="165"/>
      <c r="G64" s="165"/>
      <c r="H64" s="201">
        <f t="shared" ref="H64:N74" si="122">+SUMIFS($Q64:$AN64,$Q$8:$AN$8,H$8,$Q$9:$AN$9,H$9)</f>
        <v>-39974.499062000024</v>
      </c>
      <c r="I64" s="202">
        <f t="shared" si="122"/>
        <v>-50618.610202999997</v>
      </c>
      <c r="J64" s="202">
        <f t="shared" si="122"/>
        <v>-56659.652406000212</v>
      </c>
      <c r="K64" s="203">
        <f t="shared" si="122"/>
        <v>-112149.0723329997</v>
      </c>
      <c r="L64" s="201">
        <f t="shared" si="122"/>
        <v>58047.35367099999</v>
      </c>
      <c r="M64" s="202">
        <f t="shared" si="122"/>
        <v>-8488.0605639999048</v>
      </c>
      <c r="N64" s="202">
        <f t="shared" si="122"/>
        <v>0</v>
      </c>
      <c r="O64" s="203">
        <f t="shared" si="121"/>
        <v>0</v>
      </c>
      <c r="Q64" s="166">
        <f>+Q65-Q68</f>
        <v>0</v>
      </c>
      <c r="R64" s="167">
        <f t="shared" ref="R64:AN64" si="123">+R65-R68</f>
        <v>0</v>
      </c>
      <c r="S64" s="167">
        <f t="shared" si="123"/>
        <v>-39974.499062000024</v>
      </c>
      <c r="T64" s="168">
        <f t="shared" si="123"/>
        <v>0</v>
      </c>
      <c r="U64" s="167">
        <f t="shared" si="123"/>
        <v>0</v>
      </c>
      <c r="V64" s="169">
        <f t="shared" si="123"/>
        <v>-50618.610202999997</v>
      </c>
      <c r="W64" s="168">
        <f t="shared" si="123"/>
        <v>0</v>
      </c>
      <c r="X64" s="167">
        <f t="shared" si="123"/>
        <v>0</v>
      </c>
      <c r="Y64" s="169">
        <f t="shared" si="123"/>
        <v>-56659.652406000212</v>
      </c>
      <c r="Z64" s="167">
        <f t="shared" si="123"/>
        <v>0</v>
      </c>
      <c r="AA64" s="167">
        <f t="shared" si="123"/>
        <v>0</v>
      </c>
      <c r="AB64" s="170">
        <f t="shared" si="123"/>
        <v>-112149.0723329997</v>
      </c>
      <c r="AC64" s="167">
        <f t="shared" si="123"/>
        <v>83817.410545999999</v>
      </c>
      <c r="AD64" s="167">
        <f t="shared" si="123"/>
        <v>-47636.470921999971</v>
      </c>
      <c r="AE64" s="167">
        <f t="shared" si="123"/>
        <v>21866.414046999962</v>
      </c>
      <c r="AF64" s="168">
        <f t="shared" si="123"/>
        <v>10190.544568999991</v>
      </c>
      <c r="AG64" s="167">
        <f t="shared" si="123"/>
        <v>-9375.1037840000681</v>
      </c>
      <c r="AH64" s="169">
        <f t="shared" si="123"/>
        <v>-9303.5013489998273</v>
      </c>
      <c r="AI64" s="168">
        <f t="shared" si="123"/>
        <v>0</v>
      </c>
      <c r="AJ64" s="167">
        <f t="shared" si="123"/>
        <v>0</v>
      </c>
      <c r="AK64" s="169">
        <f t="shared" si="123"/>
        <v>0</v>
      </c>
      <c r="AL64" s="167">
        <f t="shared" si="123"/>
        <v>0</v>
      </c>
      <c r="AM64" s="167">
        <f t="shared" si="123"/>
        <v>0</v>
      </c>
      <c r="AN64" s="170">
        <f t="shared" si="123"/>
        <v>0</v>
      </c>
      <c r="AO64" s="115"/>
      <c r="AP64" s="115"/>
      <c r="AQ64" s="115"/>
      <c r="AR64" s="115"/>
      <c r="AS64" s="115"/>
      <c r="AT64" s="115"/>
      <c r="AU64" s="115"/>
      <c r="AV64" s="115"/>
      <c r="AW64" s="115"/>
    </row>
    <row r="65" spans="1:49">
      <c r="A65" s="115">
        <f t="shared" si="44"/>
        <v>86969.869971999971</v>
      </c>
      <c r="B65" s="115">
        <f t="shared" si="45"/>
        <v>256990.68847100012</v>
      </c>
      <c r="C65" s="123"/>
      <c r="D65" s="171" t="s">
        <v>168</v>
      </c>
      <c r="E65" s="172"/>
      <c r="F65" s="172"/>
      <c r="G65" s="172"/>
      <c r="H65" s="189">
        <f t="shared" si="122"/>
        <v>48794.575697999979</v>
      </c>
      <c r="I65" s="190">
        <f t="shared" si="122"/>
        <v>38175.294273999993</v>
      </c>
      <c r="J65" s="190">
        <f t="shared" si="122"/>
        <v>33572.475791999794</v>
      </c>
      <c r="K65" s="191">
        <f t="shared" si="122"/>
        <v>-20782.461582999713</v>
      </c>
      <c r="L65" s="189">
        <f t="shared" si="122"/>
        <v>159728.36303899999</v>
      </c>
      <c r="M65" s="190">
        <f t="shared" si="122"/>
        <v>97262.325432000114</v>
      </c>
      <c r="N65" s="190">
        <f t="shared" si="122"/>
        <v>0</v>
      </c>
      <c r="O65" s="191">
        <f t="shared" si="121"/>
        <v>0</v>
      </c>
      <c r="Q65" s="228">
        <f>+Q66+Q67</f>
        <v>0</v>
      </c>
      <c r="R65" s="229">
        <f t="shared" ref="R65:AN65" si="124">+R66+R67</f>
        <v>0</v>
      </c>
      <c r="S65" s="229">
        <f t="shared" si="124"/>
        <v>48794.575697999979</v>
      </c>
      <c r="T65" s="230">
        <f t="shared" si="124"/>
        <v>0</v>
      </c>
      <c r="U65" s="229">
        <f t="shared" si="124"/>
        <v>0</v>
      </c>
      <c r="V65" s="231">
        <f t="shared" si="124"/>
        <v>38175.294273999993</v>
      </c>
      <c r="W65" s="230">
        <f t="shared" si="124"/>
        <v>0</v>
      </c>
      <c r="X65" s="229">
        <f t="shared" si="124"/>
        <v>0</v>
      </c>
      <c r="Y65" s="231">
        <f t="shared" si="124"/>
        <v>33572.475791999794</v>
      </c>
      <c r="Z65" s="229">
        <f t="shared" si="124"/>
        <v>0</v>
      </c>
      <c r="AA65" s="229">
        <f t="shared" si="124"/>
        <v>0</v>
      </c>
      <c r="AB65" s="232">
        <f t="shared" si="124"/>
        <v>-20782.461582999713</v>
      </c>
      <c r="AC65" s="229">
        <f t="shared" si="124"/>
        <v>116780.972966</v>
      </c>
      <c r="AD65" s="229">
        <f t="shared" si="124"/>
        <v>-15594.226592999967</v>
      </c>
      <c r="AE65" s="229">
        <f t="shared" si="124"/>
        <v>58541.616665999965</v>
      </c>
      <c r="AF65" s="230">
        <f t="shared" si="124"/>
        <v>46052.908579999974</v>
      </c>
      <c r="AG65" s="229">
        <f t="shared" si="124"/>
        <v>24582.029189999939</v>
      </c>
      <c r="AH65" s="231">
        <f t="shared" si="124"/>
        <v>26627.387662000194</v>
      </c>
      <c r="AI65" s="230">
        <f t="shared" si="124"/>
        <v>0</v>
      </c>
      <c r="AJ65" s="229">
        <f t="shared" si="124"/>
        <v>0</v>
      </c>
      <c r="AK65" s="231">
        <f t="shared" si="124"/>
        <v>0</v>
      </c>
      <c r="AL65" s="229">
        <f t="shared" si="124"/>
        <v>0</v>
      </c>
      <c r="AM65" s="229">
        <f t="shared" si="124"/>
        <v>0</v>
      </c>
      <c r="AN65" s="232">
        <f t="shared" si="124"/>
        <v>0</v>
      </c>
      <c r="AO65" s="115"/>
      <c r="AP65" s="115"/>
      <c r="AQ65" s="115"/>
      <c r="AR65" s="115"/>
      <c r="AS65" s="115"/>
      <c r="AT65" s="115"/>
      <c r="AU65" s="115"/>
      <c r="AV65" s="115"/>
      <c r="AW65" s="115"/>
    </row>
    <row r="66" spans="1:49">
      <c r="A66" s="115">
        <f t="shared" si="44"/>
        <v>-14804.367910000004</v>
      </c>
      <c r="B66" s="115">
        <f t="shared" si="45"/>
        <v>134030.13088000001</v>
      </c>
      <c r="C66" s="123"/>
      <c r="D66" s="123"/>
      <c r="E66" s="131" t="s">
        <v>177</v>
      </c>
      <c r="F66" s="122"/>
      <c r="G66" s="122"/>
      <c r="H66" s="204">
        <f t="shared" si="122"/>
        <v>-46.919701000014413</v>
      </c>
      <c r="I66" s="205">
        <f t="shared" si="122"/>
        <v>-14757.448208999989</v>
      </c>
      <c r="J66" s="205">
        <f t="shared" si="122"/>
        <v>-13909.638283999911</v>
      </c>
      <c r="K66" s="206">
        <f t="shared" si="122"/>
        <v>-58327.515967000043</v>
      </c>
      <c r="L66" s="204">
        <f t="shared" si="122"/>
        <v>111624.42408399998</v>
      </c>
      <c r="M66" s="205">
        <f t="shared" si="122"/>
        <v>22405.706796000024</v>
      </c>
      <c r="N66" s="205">
        <f t="shared" si="122"/>
        <v>0</v>
      </c>
      <c r="O66" s="206">
        <f t="shared" si="121"/>
        <v>0</v>
      </c>
      <c r="Q66" s="144"/>
      <c r="R66" s="125"/>
      <c r="S66" s="125">
        <f>(+[2]투자손익월별!H72+[2]투자손익월별!H92+[2]투자손익월별!H96-[2]투자손익월별!H95)*100-S78</f>
        <v>-46.919701000014413</v>
      </c>
      <c r="T66" s="151"/>
      <c r="U66" s="125"/>
      <c r="V66" s="152">
        <f>(+[2]투자손익월별!I72+[2]투자손익월별!I92+[2]투자손익월별!I96-[2]투자손익월별!I95)*100-V78</f>
        <v>-14757.448208999989</v>
      </c>
      <c r="W66" s="151"/>
      <c r="X66" s="125"/>
      <c r="Y66" s="152">
        <f>(+[2]투자손익월별!J72+[2]투자손익월별!J92+[2]투자손익월별!J96-[2]투자손익월별!J95)*100-Y78</f>
        <v>-13909.638283999911</v>
      </c>
      <c r="Z66" s="125"/>
      <c r="AA66" s="125"/>
      <c r="AB66" s="126">
        <f>(+[2]투자손익월별!K72+[2]투자손익월별!K92+[2]투자손익월별!K96-[2]투자손익월별!K95)*100-AB78</f>
        <v>-58327.515967000043</v>
      </c>
      <c r="AC66" s="125">
        <f>(+[2]투자손익월별!L72+[2]투자손익월별!L92+[2]투자손익월별!L96-[2]투자손익월별!L95)*100-AC78</f>
        <v>86045.146044999972</v>
      </c>
      <c r="AD66" s="125">
        <f>(+[2]투자손익월별!M72+[2]투자손익월별!M92+[2]투자손익월별!M96-[2]투자손익월별!M95)*100-AD78</f>
        <v>-19348.171050999968</v>
      </c>
      <c r="AE66" s="125">
        <f>(+[2]투자손익월별!N72+[2]투자손익월별!N92+[2]투자손익월별!N96-[2]투자손익월별!N95)*100-AE78</f>
        <v>44927.44908999998</v>
      </c>
      <c r="AF66" s="151">
        <f>(+[2]투자손익월별!O72+[2]투자손익월별!O92+[2]투자손익월별!O96-[2]투자손익월별!O95)*100-AF78</f>
        <v>20469.966640000035</v>
      </c>
      <c r="AG66" s="125">
        <f>(+[2]투자손익월별!P72+[2]투자손익월별!P92+[2]투자손익월별!P96-[2]투자손익월별!P95)*100-AG78</f>
        <v>9209.2931559999706</v>
      </c>
      <c r="AH66" s="152">
        <f>(+[2]투자손익월별!Q72+[2]투자손익월별!Q92+[2]투자손익월별!Q96-[2]투자손익월별!Q95)*100-AH78</f>
        <v>-7273.5529999999826</v>
      </c>
      <c r="AI66" s="151"/>
      <c r="AJ66" s="125"/>
      <c r="AK66" s="152"/>
      <c r="AL66" s="125"/>
      <c r="AM66" s="125"/>
      <c r="AN66" s="126"/>
      <c r="AO66" s="115"/>
      <c r="AP66" s="115"/>
      <c r="AQ66" s="115"/>
      <c r="AR66" s="115"/>
      <c r="AS66" s="115"/>
      <c r="AT66" s="115"/>
      <c r="AU66" s="115"/>
      <c r="AV66" s="115"/>
      <c r="AW66" s="115"/>
    </row>
    <row r="67" spans="1:49">
      <c r="A67" s="115">
        <f t="shared" si="44"/>
        <v>101774.23788199997</v>
      </c>
      <c r="B67" s="115">
        <f t="shared" si="45"/>
        <v>122960.55759100011</v>
      </c>
      <c r="C67" s="123"/>
      <c r="D67" s="123"/>
      <c r="E67" s="127" t="s">
        <v>178</v>
      </c>
      <c r="F67" s="128"/>
      <c r="G67" s="128"/>
      <c r="H67" s="207">
        <f t="shared" si="122"/>
        <v>48841.495398999992</v>
      </c>
      <c r="I67" s="208">
        <f t="shared" si="122"/>
        <v>52932.74248299998</v>
      </c>
      <c r="J67" s="208">
        <f t="shared" si="122"/>
        <v>47482.114075999707</v>
      </c>
      <c r="K67" s="209">
        <f t="shared" si="122"/>
        <v>37545.05438400033</v>
      </c>
      <c r="L67" s="207">
        <f t="shared" si="122"/>
        <v>48103.93895500002</v>
      </c>
      <c r="M67" s="208">
        <f t="shared" si="122"/>
        <v>74856.618636000087</v>
      </c>
      <c r="N67" s="208">
        <f t="shared" si="122"/>
        <v>0</v>
      </c>
      <c r="O67" s="209">
        <f t="shared" si="121"/>
        <v>0</v>
      </c>
      <c r="Q67" s="144"/>
      <c r="R67" s="125"/>
      <c r="S67" s="125">
        <f>(+[2]투자손익월별!H104+[2]투자손익월별!H124+[2]투자손익월별!H128)*100-S79</f>
        <v>48841.495398999992</v>
      </c>
      <c r="T67" s="151"/>
      <c r="U67" s="125"/>
      <c r="V67" s="152">
        <f>(+[2]투자손익월별!I104+[2]투자손익월별!I124+[2]투자손익월별!I128)*100-V79</f>
        <v>52932.74248299998</v>
      </c>
      <c r="W67" s="151"/>
      <c r="X67" s="125"/>
      <c r="Y67" s="152">
        <f>(+[2]투자손익월별!J104+[2]투자손익월별!J124+[2]투자손익월별!J128)*100-Y79</f>
        <v>47482.114075999707</v>
      </c>
      <c r="Z67" s="125"/>
      <c r="AA67" s="125"/>
      <c r="AB67" s="126">
        <f>(+[2]투자손익월별!K104+[2]투자손익월별!K124+[2]투자손익월별!K128)*100-AB79</f>
        <v>37545.05438400033</v>
      </c>
      <c r="AC67" s="125">
        <f>(+[2]투자손익월별!L104+[2]투자손익월별!L124+[2]투자손익월별!L128)*100-AC79</f>
        <v>30735.826921000036</v>
      </c>
      <c r="AD67" s="125">
        <f>(+[2]투자손익월별!M104+[2]투자손익월별!M124+[2]투자손익월별!M128)*100-AD79</f>
        <v>3753.9444580000009</v>
      </c>
      <c r="AE67" s="125">
        <f>(+[2]투자손익월별!N104+[2]투자손익월별!N124+[2]투자손익월별!N128)*100-AE79</f>
        <v>13614.167575999983</v>
      </c>
      <c r="AF67" s="151">
        <f>(+[2]투자손익월별!O104+[2]투자손익월별!O124+[2]투자손익월별!O128)*100-AF79</f>
        <v>25582.941939999939</v>
      </c>
      <c r="AG67" s="125">
        <f>(+[2]투자손익월별!P104+[2]투자손익월별!P124+[2]투자손익월별!P128)*100-AG79</f>
        <v>15372.736033999969</v>
      </c>
      <c r="AH67" s="152">
        <f>(+[2]투자손익월별!Q104+[2]투자손익월별!Q124+[2]투자손익월별!Q128)*100-AH79</f>
        <v>33900.940662000176</v>
      </c>
      <c r="AI67" s="151"/>
      <c r="AJ67" s="125"/>
      <c r="AK67" s="152"/>
      <c r="AL67" s="125"/>
      <c r="AM67" s="125"/>
      <c r="AN67" s="126"/>
      <c r="AO67" s="115"/>
      <c r="AP67" s="115"/>
      <c r="AQ67" s="115"/>
      <c r="AR67" s="115"/>
      <c r="AS67" s="115"/>
      <c r="AT67" s="115"/>
      <c r="AU67" s="115"/>
      <c r="AV67" s="115"/>
      <c r="AW67" s="115"/>
    </row>
    <row r="68" spans="1:49">
      <c r="A68" s="115">
        <f t="shared" si="44"/>
        <v>177562.97923699999</v>
      </c>
      <c r="B68" s="115">
        <f t="shared" si="45"/>
        <v>207431.395364</v>
      </c>
      <c r="C68" s="123"/>
      <c r="D68" s="171" t="s">
        <v>169</v>
      </c>
      <c r="E68" s="172"/>
      <c r="F68" s="172"/>
      <c r="G68" s="172"/>
      <c r="H68" s="189">
        <f t="shared" si="122"/>
        <v>88769.074760000003</v>
      </c>
      <c r="I68" s="190">
        <f t="shared" si="122"/>
        <v>88793.904476999989</v>
      </c>
      <c r="J68" s="190">
        <f t="shared" si="122"/>
        <v>90232.128198000006</v>
      </c>
      <c r="K68" s="191">
        <f t="shared" si="122"/>
        <v>91366.610749999993</v>
      </c>
      <c r="L68" s="189">
        <f t="shared" si="122"/>
        <v>101681.009368</v>
      </c>
      <c r="M68" s="190">
        <f t="shared" si="122"/>
        <v>105750.38599600001</v>
      </c>
      <c r="N68" s="190">
        <f t="shared" si="122"/>
        <v>0</v>
      </c>
      <c r="O68" s="191">
        <f t="shared" si="121"/>
        <v>0</v>
      </c>
      <c r="Q68" s="228">
        <f>+Q69+Q70</f>
        <v>0</v>
      </c>
      <c r="R68" s="229">
        <f t="shared" ref="R68:AN68" si="125">+R69+R70</f>
        <v>0</v>
      </c>
      <c r="S68" s="229">
        <f t="shared" si="125"/>
        <v>88769.074760000003</v>
      </c>
      <c r="T68" s="230">
        <f t="shared" si="125"/>
        <v>0</v>
      </c>
      <c r="U68" s="229">
        <f t="shared" si="125"/>
        <v>0</v>
      </c>
      <c r="V68" s="231">
        <f t="shared" si="125"/>
        <v>88793.904476999989</v>
      </c>
      <c r="W68" s="230">
        <f t="shared" si="125"/>
        <v>0</v>
      </c>
      <c r="X68" s="229">
        <f t="shared" si="125"/>
        <v>0</v>
      </c>
      <c r="Y68" s="231">
        <f t="shared" si="125"/>
        <v>90232.128198000006</v>
      </c>
      <c r="Z68" s="229">
        <f t="shared" si="125"/>
        <v>0</v>
      </c>
      <c r="AA68" s="229">
        <f t="shared" si="125"/>
        <v>0</v>
      </c>
      <c r="AB68" s="232">
        <f t="shared" si="125"/>
        <v>91366.610749999993</v>
      </c>
      <c r="AC68" s="229">
        <f t="shared" si="125"/>
        <v>32963.562419999995</v>
      </c>
      <c r="AD68" s="229">
        <f t="shared" si="125"/>
        <v>32042.244329000005</v>
      </c>
      <c r="AE68" s="229">
        <f t="shared" si="125"/>
        <v>36675.202619000003</v>
      </c>
      <c r="AF68" s="230">
        <f t="shared" si="125"/>
        <v>35862.364010999983</v>
      </c>
      <c r="AG68" s="229">
        <f t="shared" si="125"/>
        <v>33957.132974000007</v>
      </c>
      <c r="AH68" s="231">
        <f t="shared" si="125"/>
        <v>35930.889011000021</v>
      </c>
      <c r="AI68" s="230">
        <f t="shared" si="125"/>
        <v>0</v>
      </c>
      <c r="AJ68" s="229">
        <f t="shared" si="125"/>
        <v>0</v>
      </c>
      <c r="AK68" s="231">
        <f t="shared" si="125"/>
        <v>0</v>
      </c>
      <c r="AL68" s="229">
        <f t="shared" si="125"/>
        <v>0</v>
      </c>
      <c r="AM68" s="229">
        <f t="shared" si="125"/>
        <v>0</v>
      </c>
      <c r="AN68" s="232">
        <f t="shared" si="125"/>
        <v>0</v>
      </c>
      <c r="AO68" s="115"/>
      <c r="AP68" s="115"/>
      <c r="AQ68" s="115"/>
      <c r="AR68" s="115"/>
      <c r="AS68" s="115"/>
      <c r="AT68" s="115"/>
      <c r="AU68" s="115"/>
      <c r="AV68" s="115"/>
      <c r="AW68" s="115"/>
    </row>
    <row r="69" spans="1:49">
      <c r="A69" s="115">
        <f t="shared" si="44"/>
        <v>74698.403323999984</v>
      </c>
      <c r="B69" s="115">
        <f t="shared" si="45"/>
        <v>71316.307048999995</v>
      </c>
      <c r="C69" s="123"/>
      <c r="D69" s="123"/>
      <c r="E69" s="131" t="s">
        <v>171</v>
      </c>
      <c r="F69" s="122"/>
      <c r="G69" s="122"/>
      <c r="H69" s="204">
        <f t="shared" si="122"/>
        <v>37479.551310000003</v>
      </c>
      <c r="I69" s="205">
        <f t="shared" si="122"/>
        <v>37218.852013999989</v>
      </c>
      <c r="J69" s="205">
        <f t="shared" si="122"/>
        <v>35714.571670999998</v>
      </c>
      <c r="K69" s="206">
        <f t="shared" si="122"/>
        <v>34479.367868000008</v>
      </c>
      <c r="L69" s="204">
        <f t="shared" si="122"/>
        <v>35980.923404000001</v>
      </c>
      <c r="M69" s="205">
        <f t="shared" si="122"/>
        <v>35335.383645000002</v>
      </c>
      <c r="N69" s="205">
        <f t="shared" si="122"/>
        <v>0</v>
      </c>
      <c r="O69" s="206">
        <f t="shared" si="121"/>
        <v>0</v>
      </c>
      <c r="Q69" s="144"/>
      <c r="R69" s="125"/>
      <c r="S69" s="125">
        <f>(+[2]투자손익월별!H94)*100</f>
        <v>37479.551310000003</v>
      </c>
      <c r="T69" s="151"/>
      <c r="U69" s="125"/>
      <c r="V69" s="152">
        <f>(+[2]투자손익월별!I94)*100</f>
        <v>37218.852013999989</v>
      </c>
      <c r="W69" s="151"/>
      <c r="X69" s="125"/>
      <c r="Y69" s="152">
        <f>(+[2]투자손익월별!J94)*100</f>
        <v>35714.571670999998</v>
      </c>
      <c r="Z69" s="125"/>
      <c r="AA69" s="125"/>
      <c r="AB69" s="126">
        <f>(+[2]투자손익월별!K94)*100</f>
        <v>34479.367868000008</v>
      </c>
      <c r="AC69" s="125">
        <f>(+[2]투자손익월별!L94)*100</f>
        <v>10892.481242</v>
      </c>
      <c r="AD69" s="125">
        <f>(+[2]투자손익월별!M94)*100</f>
        <v>11241.705647000003</v>
      </c>
      <c r="AE69" s="125">
        <f>(+[2]투자손익월별!N94)*100</f>
        <v>13846.736514999995</v>
      </c>
      <c r="AF69" s="151">
        <f>(+[2]투자손익월별!O94)*100</f>
        <v>12757.415020999997</v>
      </c>
      <c r="AG69" s="125">
        <f>(+[2]투자손익월별!P94)*100</f>
        <v>10052.686386000005</v>
      </c>
      <c r="AH69" s="152">
        <f>(+[2]투자손익월별!Q94)*100</f>
        <v>12525.282238</v>
      </c>
      <c r="AI69" s="151"/>
      <c r="AJ69" s="125"/>
      <c r="AK69" s="152"/>
      <c r="AL69" s="125"/>
      <c r="AM69" s="125"/>
      <c r="AN69" s="126"/>
      <c r="AO69" s="115"/>
      <c r="AP69" s="115"/>
      <c r="AQ69" s="115"/>
      <c r="AR69" s="115"/>
      <c r="AS69" s="115"/>
      <c r="AT69" s="115"/>
      <c r="AU69" s="115"/>
      <c r="AV69" s="115"/>
      <c r="AW69" s="115"/>
    </row>
    <row r="70" spans="1:49">
      <c r="A70" s="115">
        <f t="shared" si="44"/>
        <v>102864.57591300001</v>
      </c>
      <c r="B70" s="115">
        <f t="shared" si="45"/>
        <v>136115.088315</v>
      </c>
      <c r="C70" s="123"/>
      <c r="D70" s="123"/>
      <c r="E70" s="127" t="s">
        <v>170</v>
      </c>
      <c r="F70" s="128"/>
      <c r="G70" s="128"/>
      <c r="H70" s="207">
        <f t="shared" si="122"/>
        <v>51289.523450000001</v>
      </c>
      <c r="I70" s="208">
        <f t="shared" si="122"/>
        <v>51575.052463</v>
      </c>
      <c r="J70" s="208">
        <f t="shared" si="122"/>
        <v>54517.556527000008</v>
      </c>
      <c r="K70" s="209">
        <f t="shared" si="122"/>
        <v>56887.242881999984</v>
      </c>
      <c r="L70" s="207">
        <f t="shared" si="122"/>
        <v>65700.085963999998</v>
      </c>
      <c r="M70" s="208">
        <f t="shared" si="122"/>
        <v>70415.002351000017</v>
      </c>
      <c r="N70" s="208">
        <f t="shared" si="122"/>
        <v>0</v>
      </c>
      <c r="O70" s="209">
        <f t="shared" si="121"/>
        <v>0</v>
      </c>
      <c r="Q70" s="144"/>
      <c r="R70" s="125"/>
      <c r="S70" s="125">
        <f>(+[2]투자손익월별!H125)*100</f>
        <v>51289.523450000001</v>
      </c>
      <c r="T70" s="151"/>
      <c r="U70" s="125"/>
      <c r="V70" s="152">
        <f>(+[2]투자손익월별!I125)*100</f>
        <v>51575.052463</v>
      </c>
      <c r="W70" s="151"/>
      <c r="X70" s="125"/>
      <c r="Y70" s="152">
        <f>(+[2]투자손익월별!J125)*100</f>
        <v>54517.556527000008</v>
      </c>
      <c r="Z70" s="125"/>
      <c r="AA70" s="125"/>
      <c r="AB70" s="126">
        <f>(+[2]투자손익월별!K125)*100</f>
        <v>56887.242881999984</v>
      </c>
      <c r="AC70" s="125">
        <f>(+[2]투자손익월별!L125)*100</f>
        <v>22071.081177999997</v>
      </c>
      <c r="AD70" s="125">
        <f>(+[2]투자손익월별!M125)*100</f>
        <v>20800.538682000002</v>
      </c>
      <c r="AE70" s="125">
        <f>(+[2]투자손익월별!N125)*100</f>
        <v>22828.466104000006</v>
      </c>
      <c r="AF70" s="151">
        <f>(+[2]투자손익월별!O125)*100</f>
        <v>23104.94898999999</v>
      </c>
      <c r="AG70" s="125">
        <f>(+[2]투자손익월별!P125)*100</f>
        <v>23904.446588000006</v>
      </c>
      <c r="AH70" s="152">
        <f>(+[2]투자손익월별!Q125)*100</f>
        <v>23405.606773000021</v>
      </c>
      <c r="AI70" s="151"/>
      <c r="AJ70" s="125"/>
      <c r="AK70" s="152"/>
      <c r="AL70" s="125"/>
      <c r="AM70" s="125"/>
      <c r="AN70" s="126"/>
      <c r="AO70" s="115"/>
      <c r="AP70" s="115"/>
      <c r="AQ70" s="115"/>
      <c r="AR70" s="115"/>
      <c r="AS70" s="115"/>
      <c r="AT70" s="115"/>
      <c r="AU70" s="115"/>
      <c r="AV70" s="115"/>
      <c r="AW70" s="115"/>
    </row>
    <row r="71" spans="1:49">
      <c r="A71" s="115">
        <f t="shared" si="44"/>
        <v>-1383.3550880000005</v>
      </c>
      <c r="B71" s="115">
        <f t="shared" si="45"/>
        <v>-1370.7395710000003</v>
      </c>
      <c r="C71" s="164" t="s">
        <v>32</v>
      </c>
      <c r="D71" s="165"/>
      <c r="E71" s="165"/>
      <c r="F71" s="165"/>
      <c r="G71" s="165"/>
      <c r="H71" s="201">
        <f t="shared" si="122"/>
        <v>-1037.3833570000004</v>
      </c>
      <c r="I71" s="202">
        <f t="shared" si="122"/>
        <v>-345.97173100000009</v>
      </c>
      <c r="J71" s="202">
        <f t="shared" si="122"/>
        <v>2020.8470279999999</v>
      </c>
      <c r="K71" s="203">
        <f t="shared" si="122"/>
        <v>-7238.3744890000016</v>
      </c>
      <c r="L71" s="201">
        <f t="shared" si="122"/>
        <v>-1627.6361970000003</v>
      </c>
      <c r="M71" s="202">
        <f t="shared" si="122"/>
        <v>256.89662599999997</v>
      </c>
      <c r="N71" s="202">
        <f t="shared" si="122"/>
        <v>0</v>
      </c>
      <c r="O71" s="203">
        <f t="shared" si="121"/>
        <v>0</v>
      </c>
      <c r="Q71" s="166"/>
      <c r="R71" s="167"/>
      <c r="S71" s="167">
        <f>+'[2]실적(당월)'!O181+S77</f>
        <v>-1037.3833570000004</v>
      </c>
      <c r="T71" s="168"/>
      <c r="U71" s="167"/>
      <c r="V71" s="169">
        <f>+'[2]실적(당월)'!P181+V77</f>
        <v>-345.97173100000009</v>
      </c>
      <c r="W71" s="168"/>
      <c r="X71" s="167"/>
      <c r="Y71" s="169">
        <f>+'[2]실적(당월)'!Q181+Y77</f>
        <v>2020.8470279999999</v>
      </c>
      <c r="Z71" s="167"/>
      <c r="AA71" s="167"/>
      <c r="AB71" s="170">
        <f>+'[2]실적(당월)'!R181+AB77</f>
        <v>-7238.3744890000016</v>
      </c>
      <c r="AC71" s="167">
        <f>+'[2]실적(당월)'!S181+AC77</f>
        <v>-436.834563</v>
      </c>
      <c r="AD71" s="167">
        <f>+'[2]실적(당월)'!T181+AD77</f>
        <v>73.765161999999933</v>
      </c>
      <c r="AE71" s="167">
        <f>+'[2]실적(당월)'!U181+AE77</f>
        <v>-1264.5667960000001</v>
      </c>
      <c r="AF71" s="168">
        <f>+'[2]실적(당월)'!V181+AF77</f>
        <v>85.621055000000126</v>
      </c>
      <c r="AG71" s="167">
        <f>+'[2]실적(당월)'!W181+AG77</f>
        <v>8.592670000000119</v>
      </c>
      <c r="AH71" s="169">
        <f>+'[2]실적(당월)'!X181+AH77</f>
        <v>162.6829009999997</v>
      </c>
      <c r="AI71" s="168"/>
      <c r="AJ71" s="167"/>
      <c r="AK71" s="169"/>
      <c r="AL71" s="167"/>
      <c r="AM71" s="167"/>
      <c r="AN71" s="170"/>
      <c r="AO71" s="115"/>
      <c r="AP71" s="115"/>
      <c r="AQ71" s="115"/>
      <c r="AR71" s="115"/>
      <c r="AS71" s="115"/>
      <c r="AT71" s="115"/>
      <c r="AU71" s="115"/>
      <c r="AV71" s="115"/>
      <c r="AW71" s="115"/>
    </row>
    <row r="72" spans="1:49">
      <c r="A72" s="115">
        <f t="shared" si="44"/>
        <v>8467.4930296819839</v>
      </c>
      <c r="B72" s="115">
        <f t="shared" si="45"/>
        <v>151086.1766383448</v>
      </c>
      <c r="C72" s="211" t="s">
        <v>42</v>
      </c>
      <c r="D72" s="212"/>
      <c r="E72" s="212"/>
      <c r="F72" s="212"/>
      <c r="G72" s="212"/>
      <c r="H72" s="213">
        <f t="shared" si="122"/>
        <v>13379.799242824634</v>
      </c>
      <c r="I72" s="214">
        <f t="shared" si="122"/>
        <v>-4912.3062131426504</v>
      </c>
      <c r="J72" s="214">
        <f t="shared" si="122"/>
        <v>-2194.4708576847224</v>
      </c>
      <c r="K72" s="215">
        <f t="shared" si="122"/>
        <v>-102342.66590815526</v>
      </c>
      <c r="L72" s="213">
        <f t="shared" si="122"/>
        <v>103402.42781391842</v>
      </c>
      <c r="M72" s="214">
        <f t="shared" si="122"/>
        <v>47683.748824426388</v>
      </c>
      <c r="N72" s="214">
        <f t="shared" si="122"/>
        <v>0</v>
      </c>
      <c r="O72" s="215">
        <f t="shared" si="121"/>
        <v>0</v>
      </c>
      <c r="Q72" s="216">
        <f>+Q31+Q64+Q71</f>
        <v>0</v>
      </c>
      <c r="R72" s="217">
        <f t="shared" ref="R72:AN72" si="126">+R31+R64+R71</f>
        <v>0</v>
      </c>
      <c r="S72" s="217">
        <f t="shared" si="126"/>
        <v>13379.799242824634</v>
      </c>
      <c r="T72" s="218">
        <f t="shared" si="126"/>
        <v>0</v>
      </c>
      <c r="U72" s="217">
        <f t="shared" si="126"/>
        <v>0</v>
      </c>
      <c r="V72" s="219">
        <f t="shared" si="126"/>
        <v>-4912.3062131426504</v>
      </c>
      <c r="W72" s="218">
        <f t="shared" si="126"/>
        <v>0</v>
      </c>
      <c r="X72" s="217">
        <f t="shared" si="126"/>
        <v>0</v>
      </c>
      <c r="Y72" s="219">
        <f t="shared" si="126"/>
        <v>-2194.4708576847224</v>
      </c>
      <c r="Z72" s="217">
        <f t="shared" si="126"/>
        <v>0</v>
      </c>
      <c r="AA72" s="217">
        <f t="shared" si="126"/>
        <v>0</v>
      </c>
      <c r="AB72" s="220">
        <f t="shared" si="126"/>
        <v>-102342.66590815526</v>
      </c>
      <c r="AC72" s="217">
        <f t="shared" si="126"/>
        <v>87434.500103235783</v>
      </c>
      <c r="AD72" s="217">
        <f t="shared" si="126"/>
        <v>-32325.019339427607</v>
      </c>
      <c r="AE72" s="217">
        <f t="shared" si="126"/>
        <v>48292.947050110248</v>
      </c>
      <c r="AF72" s="218">
        <f t="shared" si="126"/>
        <v>20007.364884011437</v>
      </c>
      <c r="AG72" s="217">
        <f t="shared" si="126"/>
        <v>12373.291007101931</v>
      </c>
      <c r="AH72" s="221">
        <f t="shared" si="126"/>
        <v>15303.092933313019</v>
      </c>
      <c r="AI72" s="222">
        <f t="shared" si="126"/>
        <v>0</v>
      </c>
      <c r="AJ72" s="223">
        <f t="shared" si="126"/>
        <v>0</v>
      </c>
      <c r="AK72" s="221">
        <f t="shared" si="126"/>
        <v>0</v>
      </c>
      <c r="AL72" s="223">
        <f t="shared" si="126"/>
        <v>0</v>
      </c>
      <c r="AM72" s="223">
        <f t="shared" si="126"/>
        <v>0</v>
      </c>
      <c r="AN72" s="224">
        <f t="shared" si="126"/>
        <v>0</v>
      </c>
      <c r="AO72" s="115"/>
      <c r="AP72" s="115"/>
      <c r="AQ72" s="115"/>
      <c r="AR72" s="115"/>
      <c r="AS72" s="115"/>
      <c r="AT72" s="115"/>
      <c r="AU72" s="115"/>
      <c r="AV72" s="115"/>
      <c r="AW72" s="115"/>
    </row>
    <row r="73" spans="1:49">
      <c r="A73" s="115">
        <f t="shared" si="44"/>
        <v>1922.6076596819839</v>
      </c>
      <c r="B73" s="115">
        <f t="shared" si="45"/>
        <v>38114.43017934481</v>
      </c>
      <c r="C73" s="136" t="s">
        <v>173</v>
      </c>
      <c r="D73" s="137"/>
      <c r="E73" s="137"/>
      <c r="F73" s="137"/>
      <c r="G73" s="137"/>
      <c r="H73" s="234">
        <f t="shared" si="122"/>
        <v>2874.1746848246348</v>
      </c>
      <c r="I73" s="235">
        <f t="shared" si="122"/>
        <v>-951.56702514265089</v>
      </c>
      <c r="J73" s="235">
        <f t="shared" si="122"/>
        <v>-918.70894968472203</v>
      </c>
      <c r="K73" s="236">
        <f t="shared" si="122"/>
        <v>-29194.263226155264</v>
      </c>
      <c r="L73" s="234">
        <f t="shared" si="122"/>
        <v>24027.846242918422</v>
      </c>
      <c r="M73" s="235">
        <f t="shared" si="122"/>
        <v>14086.583936426388</v>
      </c>
      <c r="N73" s="235">
        <f t="shared" si="122"/>
        <v>0</v>
      </c>
      <c r="O73" s="236">
        <f t="shared" si="121"/>
        <v>0</v>
      </c>
      <c r="Q73" s="145">
        <f>+Q72-Q74</f>
        <v>0</v>
      </c>
      <c r="R73" s="138">
        <f t="shared" ref="R73:AN73" si="127">+R72-R74</f>
        <v>0</v>
      </c>
      <c r="S73" s="138">
        <f t="shared" si="127"/>
        <v>2874.1746848246348</v>
      </c>
      <c r="T73" s="153">
        <f t="shared" si="127"/>
        <v>0</v>
      </c>
      <c r="U73" s="138">
        <f t="shared" si="127"/>
        <v>0</v>
      </c>
      <c r="V73" s="154">
        <f t="shared" si="127"/>
        <v>-951.56702514265089</v>
      </c>
      <c r="W73" s="153">
        <f t="shared" si="127"/>
        <v>0</v>
      </c>
      <c r="X73" s="138">
        <f t="shared" si="127"/>
        <v>0</v>
      </c>
      <c r="Y73" s="154">
        <f t="shared" si="127"/>
        <v>-918.70894968472203</v>
      </c>
      <c r="Z73" s="138">
        <f t="shared" si="127"/>
        <v>0</v>
      </c>
      <c r="AA73" s="138">
        <f t="shared" si="127"/>
        <v>0</v>
      </c>
      <c r="AB73" s="139">
        <f t="shared" si="127"/>
        <v>-29194.263226155264</v>
      </c>
      <c r="AC73" s="138">
        <f t="shared" si="127"/>
        <v>87434.500103235783</v>
      </c>
      <c r="AD73" s="138">
        <f t="shared" si="127"/>
        <v>-32325.019339427607</v>
      </c>
      <c r="AE73" s="138">
        <f t="shared" si="127"/>
        <v>-31081.634520889755</v>
      </c>
      <c r="AF73" s="153">
        <f t="shared" si="127"/>
        <v>20007.364884011437</v>
      </c>
      <c r="AG73" s="138">
        <f t="shared" si="127"/>
        <v>12373.291007101931</v>
      </c>
      <c r="AH73" s="154">
        <f t="shared" si="127"/>
        <v>-18294.07195468698</v>
      </c>
      <c r="AI73" s="153">
        <f t="shared" si="127"/>
        <v>0</v>
      </c>
      <c r="AJ73" s="138">
        <f t="shared" si="127"/>
        <v>0</v>
      </c>
      <c r="AK73" s="154">
        <f t="shared" si="127"/>
        <v>0</v>
      </c>
      <c r="AL73" s="138">
        <f t="shared" si="127"/>
        <v>0</v>
      </c>
      <c r="AM73" s="138">
        <f t="shared" si="127"/>
        <v>0</v>
      </c>
      <c r="AN73" s="139">
        <f t="shared" si="127"/>
        <v>0</v>
      </c>
      <c r="AO73" s="115"/>
      <c r="AP73" s="115"/>
      <c r="AQ73" s="115"/>
      <c r="AR73" s="115"/>
      <c r="AS73" s="115"/>
      <c r="AT73" s="115"/>
      <c r="AU73" s="115"/>
      <c r="AV73" s="115"/>
      <c r="AW73" s="115"/>
    </row>
    <row r="74" spans="1:49">
      <c r="A74" s="115">
        <f t="shared" si="44"/>
        <v>6544.88537</v>
      </c>
      <c r="B74" s="115">
        <f t="shared" si="45"/>
        <v>112971.746459</v>
      </c>
      <c r="C74" s="237" t="s">
        <v>33</v>
      </c>
      <c r="D74" s="238"/>
      <c r="E74" s="238"/>
      <c r="F74" s="238"/>
      <c r="G74" s="238"/>
      <c r="H74" s="239">
        <f t="shared" si="122"/>
        <v>10505.624558</v>
      </c>
      <c r="I74" s="240">
        <f t="shared" si="122"/>
        <v>-3960.7391879999996</v>
      </c>
      <c r="J74" s="240">
        <f t="shared" si="122"/>
        <v>-1275.7619080000004</v>
      </c>
      <c r="K74" s="241">
        <f t="shared" si="122"/>
        <v>-73148.402682</v>
      </c>
      <c r="L74" s="239">
        <f t="shared" si="122"/>
        <v>79374.581571000002</v>
      </c>
      <c r="M74" s="240">
        <f t="shared" si="122"/>
        <v>33597.164887999999</v>
      </c>
      <c r="N74" s="240">
        <f t="shared" si="122"/>
        <v>0</v>
      </c>
      <c r="O74" s="241">
        <f t="shared" si="121"/>
        <v>0</v>
      </c>
      <c r="Q74" s="242"/>
      <c r="R74" s="243"/>
      <c r="S74" s="243">
        <f>+[3]공시용_PL!$D$29/1000000</f>
        <v>10505.624558</v>
      </c>
      <c r="T74" s="244"/>
      <c r="U74" s="243"/>
      <c r="V74" s="245">
        <f>+[4]공시용_PL!$D$29/1000000-SUM(Q74:U74)</f>
        <v>-3960.7391879999996</v>
      </c>
      <c r="W74" s="244"/>
      <c r="X74" s="243"/>
      <c r="Y74" s="245">
        <f>+[5]공시용_PL!$D$29/1000000-SUM(Q74:X74)</f>
        <v>-1275.7619080000004</v>
      </c>
      <c r="Z74" s="243"/>
      <c r="AA74" s="243"/>
      <c r="AB74" s="246">
        <f>+[6]공시용_PL!$D$29/1000000-SUM(Q74:AA74)</f>
        <v>-73148.402682</v>
      </c>
      <c r="AC74" s="243"/>
      <c r="AD74" s="243"/>
      <c r="AE74" s="243">
        <f>+[7]공시용_PL!$D$29/1000000</f>
        <v>79374.581571000002</v>
      </c>
      <c r="AF74" s="244"/>
      <c r="AG74" s="243"/>
      <c r="AH74" s="245">
        <f>+[8]공시용_PL!$D$29/1000000-SUM(AC74:AG74)</f>
        <v>33597.164887999999</v>
      </c>
      <c r="AI74" s="244"/>
      <c r="AJ74" s="243"/>
      <c r="AK74" s="245"/>
      <c r="AL74" s="243"/>
      <c r="AM74" s="243"/>
      <c r="AN74" s="246"/>
      <c r="AO74" s="115"/>
      <c r="AP74" s="115"/>
      <c r="AQ74" s="115"/>
      <c r="AR74" s="115"/>
      <c r="AS74" s="115"/>
      <c r="AT74" s="115"/>
      <c r="AU74" s="115"/>
      <c r="AV74" s="115"/>
      <c r="AW74" s="115"/>
    </row>
    <row r="75" spans="1:49">
      <c r="H75" s="120">
        <f>+H73/H72*100</f>
        <v>21.481448508026062</v>
      </c>
      <c r="I75" s="120">
        <f t="shared" ref="I75:M75" si="128">+I73/I72*100</f>
        <v>19.371085267379645</v>
      </c>
      <c r="J75" s="120">
        <f t="shared" si="128"/>
        <v>41.864714059315709</v>
      </c>
      <c r="K75" s="120">
        <f t="shared" si="128"/>
        <v>28.52599447854416</v>
      </c>
      <c r="L75" s="120">
        <f t="shared" si="128"/>
        <v>23.237216718120589</v>
      </c>
      <c r="M75" s="120">
        <f t="shared" si="128"/>
        <v>29.541687228270991</v>
      </c>
    </row>
    <row r="76" spans="1:49">
      <c r="H76" s="308">
        <f>+SUM($H$73:H73)/SUM($H$72:H72)*100</f>
        <v>21.481448508026062</v>
      </c>
      <c r="I76" s="308">
        <f>+SUM($H$73:I73)/SUM($H$72:I72)*100</f>
        <v>22.705748359549482</v>
      </c>
      <c r="J76" s="308">
        <f>+SUM($H$73:J73)/SUM($H$72:J72)*100</f>
        <v>16.003429965203384</v>
      </c>
      <c r="K76" s="308">
        <f>+SUM($H$73:K73)/SUM($H$72:K72)*100</f>
        <v>29.343675504386113</v>
      </c>
      <c r="L76" s="308">
        <f>+SUM($L$73:L73)/SUM($L$72:L72)*100</f>
        <v>23.237216718120589</v>
      </c>
      <c r="M76" s="308">
        <f>+SUM($L$73:M73)/SUM($L$72:M72)*100</f>
        <v>25.22694731403481</v>
      </c>
    </row>
    <row r="77" spans="1:49">
      <c r="C77" s="142" t="s">
        <v>172</v>
      </c>
      <c r="D77" s="137"/>
      <c r="E77" s="137"/>
      <c r="F77" s="137"/>
      <c r="G77" s="137"/>
      <c r="H77" s="234">
        <f t="shared" ref="H77:O79" si="129">+SUMIFS($Q77:$AN77,$Q$8:$AN$8,H$8,$Q$9:$AN$9,H$9)</f>
        <v>0</v>
      </c>
      <c r="I77" s="235">
        <f t="shared" si="129"/>
        <v>-196.61264800000001</v>
      </c>
      <c r="J77" s="235">
        <f t="shared" si="129"/>
        <v>-44.098940000000006</v>
      </c>
      <c r="K77" s="236">
        <f t="shared" si="129"/>
        <v>-85.792642000000001</v>
      </c>
      <c r="L77" s="234">
        <f t="shared" si="129"/>
        <v>-207.729061</v>
      </c>
      <c r="M77" s="235">
        <f t="shared" si="129"/>
        <v>-188.44668900000002</v>
      </c>
      <c r="N77" s="235">
        <f t="shared" si="129"/>
        <v>0</v>
      </c>
      <c r="O77" s="236">
        <f t="shared" si="129"/>
        <v>0</v>
      </c>
      <c r="Q77" s="145"/>
      <c r="R77" s="138"/>
      <c r="S77" s="138">
        <f>+S78+S79</f>
        <v>0</v>
      </c>
      <c r="T77" s="153"/>
      <c r="U77" s="138"/>
      <c r="V77" s="154">
        <f>+V78+V79</f>
        <v>-196.61264800000001</v>
      </c>
      <c r="W77" s="153"/>
      <c r="X77" s="138"/>
      <c r="Y77" s="154">
        <f>+Y78+Y79</f>
        <v>-44.098940000000006</v>
      </c>
      <c r="Z77" s="138"/>
      <c r="AA77" s="138"/>
      <c r="AB77" s="139">
        <f>+AB78+AB79</f>
        <v>-85.792642000000001</v>
      </c>
      <c r="AC77" s="138">
        <f t="shared" ref="AC77:AH77" si="130">+AC78+AC79</f>
        <v>0</v>
      </c>
      <c r="AD77" s="138">
        <f t="shared" si="130"/>
        <v>0</v>
      </c>
      <c r="AE77" s="138">
        <f t="shared" si="130"/>
        <v>-207.729061</v>
      </c>
      <c r="AF77" s="153">
        <f t="shared" si="130"/>
        <v>0</v>
      </c>
      <c r="AG77" s="138">
        <f t="shared" si="130"/>
        <v>0</v>
      </c>
      <c r="AH77" s="154">
        <f t="shared" si="130"/>
        <v>-188.44668900000002</v>
      </c>
      <c r="AI77" s="153"/>
      <c r="AJ77" s="138"/>
      <c r="AK77" s="154"/>
      <c r="AL77" s="138"/>
      <c r="AM77" s="138"/>
      <c r="AN77" s="139"/>
      <c r="AO77" s="115"/>
      <c r="AP77" s="115"/>
      <c r="AQ77" s="115"/>
      <c r="AR77" s="115"/>
      <c r="AS77" s="115"/>
      <c r="AT77" s="115"/>
      <c r="AU77" s="115"/>
      <c r="AV77" s="115"/>
      <c r="AW77" s="115"/>
    </row>
    <row r="78" spans="1:49" s="11" customFormat="1">
      <c r="C78" s="247"/>
      <c r="D78" s="248" t="s">
        <v>179</v>
      </c>
      <c r="E78" s="249"/>
      <c r="F78" s="249"/>
      <c r="G78" s="249"/>
      <c r="H78" s="250">
        <f t="shared" si="129"/>
        <v>0</v>
      </c>
      <c r="I78" s="251">
        <f t="shared" si="129"/>
        <v>-196.61264800000001</v>
      </c>
      <c r="J78" s="251">
        <f t="shared" si="129"/>
        <v>-44.098940000000006</v>
      </c>
      <c r="K78" s="252">
        <f t="shared" si="129"/>
        <v>-85.792642000000001</v>
      </c>
      <c r="L78" s="250">
        <f t="shared" si="129"/>
        <v>-207.729061</v>
      </c>
      <c r="M78" s="251">
        <f t="shared" si="129"/>
        <v>-188.44668900000002</v>
      </c>
      <c r="N78" s="251">
        <f t="shared" si="129"/>
        <v>0</v>
      </c>
      <c r="O78" s="252">
        <f t="shared" si="129"/>
        <v>0</v>
      </c>
      <c r="Q78" s="259"/>
      <c r="R78" s="260"/>
      <c r="S78" s="260">
        <f>+[2]투자손익월별!H84*100</f>
        <v>0</v>
      </c>
      <c r="T78" s="261"/>
      <c r="U78" s="260"/>
      <c r="V78" s="262">
        <f>+[2]투자손익월별!I84*100</f>
        <v>-196.61264800000001</v>
      </c>
      <c r="W78" s="261"/>
      <c r="X78" s="260"/>
      <c r="Y78" s="262">
        <f>+[2]투자손익월별!J84*100</f>
        <v>-44.098940000000006</v>
      </c>
      <c r="Z78" s="260"/>
      <c r="AA78" s="260"/>
      <c r="AB78" s="263">
        <f>+[2]투자손익월별!K84*100</f>
        <v>-85.792642000000001</v>
      </c>
      <c r="AC78" s="260">
        <f>+[2]투자손익월별!L84*100</f>
        <v>0</v>
      </c>
      <c r="AD78" s="260">
        <f>+[2]투자손익월별!M84*100</f>
        <v>0</v>
      </c>
      <c r="AE78" s="260">
        <f>+[2]투자손익월별!N84*100</f>
        <v>-207.729061</v>
      </c>
      <c r="AF78" s="261">
        <f>+[2]투자손익월별!O84*100</f>
        <v>0</v>
      </c>
      <c r="AG78" s="260">
        <f>+[2]투자손익월별!P84*100</f>
        <v>0</v>
      </c>
      <c r="AH78" s="262">
        <f>+[2]투자손익월별!Q84*100</f>
        <v>-188.44668900000002</v>
      </c>
      <c r="AI78" s="261"/>
      <c r="AJ78" s="260"/>
      <c r="AK78" s="262"/>
      <c r="AL78" s="260"/>
      <c r="AM78" s="260"/>
      <c r="AN78" s="263"/>
      <c r="AO78" s="253"/>
      <c r="AP78" s="253"/>
      <c r="AQ78" s="253"/>
      <c r="AR78" s="253"/>
      <c r="AS78" s="253"/>
      <c r="AT78" s="253"/>
      <c r="AU78" s="253"/>
      <c r="AV78" s="253"/>
      <c r="AW78" s="253"/>
    </row>
    <row r="79" spans="1:49" s="11" customFormat="1">
      <c r="C79" s="254"/>
      <c r="D79" s="254" t="s">
        <v>180</v>
      </c>
      <c r="E79" s="255"/>
      <c r="F79" s="255"/>
      <c r="G79" s="255"/>
      <c r="H79" s="256">
        <f t="shared" si="129"/>
        <v>0</v>
      </c>
      <c r="I79" s="257">
        <f t="shared" si="129"/>
        <v>0</v>
      </c>
      <c r="J79" s="257">
        <f t="shared" si="129"/>
        <v>0</v>
      </c>
      <c r="K79" s="258">
        <f t="shared" si="129"/>
        <v>0</v>
      </c>
      <c r="L79" s="256">
        <f t="shared" si="129"/>
        <v>0</v>
      </c>
      <c r="M79" s="257">
        <f t="shared" si="129"/>
        <v>0</v>
      </c>
      <c r="N79" s="257">
        <f t="shared" si="129"/>
        <v>0</v>
      </c>
      <c r="O79" s="258">
        <f t="shared" si="129"/>
        <v>0</v>
      </c>
      <c r="Q79" s="264"/>
      <c r="R79" s="265"/>
      <c r="S79" s="265">
        <f>+[2]투자손익월별!H116*100</f>
        <v>0</v>
      </c>
      <c r="T79" s="266"/>
      <c r="U79" s="265"/>
      <c r="V79" s="267">
        <f>+[2]투자손익월별!I116*100</f>
        <v>0</v>
      </c>
      <c r="W79" s="266"/>
      <c r="X79" s="265"/>
      <c r="Y79" s="267">
        <f>+[2]투자손익월별!J116*100</f>
        <v>0</v>
      </c>
      <c r="Z79" s="265"/>
      <c r="AA79" s="265"/>
      <c r="AB79" s="268">
        <f>+[2]투자손익월별!K116*100</f>
        <v>0</v>
      </c>
      <c r="AC79" s="265">
        <f>+[2]투자손익월별!L116*100</f>
        <v>0</v>
      </c>
      <c r="AD79" s="265">
        <f>+[2]투자손익월별!M116*100</f>
        <v>0</v>
      </c>
      <c r="AE79" s="265">
        <f>+[2]투자손익월별!N116*100</f>
        <v>0</v>
      </c>
      <c r="AF79" s="266">
        <f>+[2]투자손익월별!O116*100</f>
        <v>0</v>
      </c>
      <c r="AG79" s="265">
        <f>+[2]투자손익월별!P116*100</f>
        <v>0</v>
      </c>
      <c r="AH79" s="267">
        <f>+[2]투자손익월별!Q116*100</f>
        <v>0</v>
      </c>
      <c r="AI79" s="266"/>
      <c r="AJ79" s="265"/>
      <c r="AK79" s="267"/>
      <c r="AL79" s="265"/>
      <c r="AM79" s="265"/>
      <c r="AN79" s="268"/>
      <c r="AO79" s="253"/>
      <c r="AP79" s="253"/>
      <c r="AQ79" s="253"/>
      <c r="AR79" s="253"/>
      <c r="AS79" s="253"/>
      <c r="AT79" s="253"/>
      <c r="AU79" s="253"/>
      <c r="AV79" s="253"/>
      <c r="AW79" s="253"/>
    </row>
    <row r="81" spans="3:49">
      <c r="C81" s="269" t="s">
        <v>185</v>
      </c>
      <c r="D81" s="270"/>
      <c r="E81" s="270"/>
      <c r="F81" s="270"/>
      <c r="G81" s="270"/>
      <c r="H81" s="271">
        <f>+SUMIFS($Q81:$AN81,$Q$11:$AN$11,H$7)</f>
        <v>17657866.689961001</v>
      </c>
      <c r="I81" s="272">
        <f t="shared" ref="I81:O83" si="131">+SUMIFS($Q81:$AN81,$Q$11:$AN$11,I$7)</f>
        <v>17259679.946102001</v>
      </c>
      <c r="J81" s="272">
        <f t="shared" si="131"/>
        <v>17396000.145502999</v>
      </c>
      <c r="K81" s="273">
        <f t="shared" si="131"/>
        <v>16791949.248408999</v>
      </c>
      <c r="L81" s="271">
        <f t="shared" si="131"/>
        <v>14619371.017680001</v>
      </c>
      <c r="M81" s="272">
        <f t="shared" si="131"/>
        <v>13601365.949591</v>
      </c>
      <c r="N81" s="272">
        <f t="shared" si="131"/>
        <v>0</v>
      </c>
      <c r="O81" s="273">
        <f t="shared" si="131"/>
        <v>0</v>
      </c>
      <c r="Q81" s="274"/>
      <c r="R81" s="275"/>
      <c r="S81" s="275">
        <f>+[3]공시용_BS!$D$22/1000000</f>
        <v>17657866.689961001</v>
      </c>
      <c r="T81" s="276"/>
      <c r="U81" s="275"/>
      <c r="V81" s="277">
        <f>+[4]공시용_BS!$D$22/1000000</f>
        <v>17259679.946102001</v>
      </c>
      <c r="W81" s="276"/>
      <c r="X81" s="275"/>
      <c r="Y81" s="277">
        <f>+[5]공시용_BS!$D$22/1000000</f>
        <v>17396000.145502999</v>
      </c>
      <c r="Z81" s="275"/>
      <c r="AA81" s="275"/>
      <c r="AB81" s="278">
        <f>+[6]공시용_BS!$D$22/1000000</f>
        <v>16791949.248408999</v>
      </c>
      <c r="AC81" s="275"/>
      <c r="AD81" s="275"/>
      <c r="AE81" s="275">
        <f>+[7]공시용_BS!$D$22/1000000</f>
        <v>14619371.017680001</v>
      </c>
      <c r="AF81" s="276"/>
      <c r="AG81" s="275"/>
      <c r="AH81" s="277">
        <f>+[8]공시용_BS!$D$22/1000000</f>
        <v>13601365.949591</v>
      </c>
      <c r="AI81" s="276"/>
      <c r="AJ81" s="275"/>
      <c r="AK81" s="277"/>
      <c r="AL81" s="275"/>
      <c r="AM81" s="275"/>
      <c r="AN81" s="278"/>
      <c r="AO81" s="115"/>
      <c r="AP81" s="115"/>
      <c r="AQ81" s="115"/>
      <c r="AR81" s="115"/>
      <c r="AS81" s="115"/>
      <c r="AT81" s="115"/>
      <c r="AU81" s="115"/>
      <c r="AV81" s="115"/>
      <c r="AW81" s="115"/>
    </row>
    <row r="82" spans="3:49">
      <c r="C82" s="269" t="s">
        <v>184</v>
      </c>
      <c r="D82" s="270"/>
      <c r="E82" s="270"/>
      <c r="F82" s="270"/>
      <c r="G82" s="270"/>
      <c r="H82" s="271">
        <f t="shared" ref="H82:H83" si="132">+SUMIFS($Q82:$AN82,$Q$11:$AN$11,H$7)</f>
        <v>1642090.4636390104</v>
      </c>
      <c r="I82" s="272">
        <f t="shared" si="131"/>
        <v>1682942.5361306211</v>
      </c>
      <c r="J82" s="272">
        <f t="shared" si="131"/>
        <v>1720687.9081705695</v>
      </c>
      <c r="K82" s="273">
        <f t="shared" si="131"/>
        <v>1780876.3430979282</v>
      </c>
      <c r="L82" s="271">
        <f t="shared" si="131"/>
        <v>1850191.4933969066</v>
      </c>
      <c r="M82" s="272">
        <f t="shared" si="131"/>
        <v>1934268.8725171548</v>
      </c>
      <c r="N82" s="272">
        <f t="shared" si="131"/>
        <v>0</v>
      </c>
      <c r="O82" s="273">
        <f t="shared" si="131"/>
        <v>0</v>
      </c>
      <c r="Q82" s="274"/>
      <c r="R82" s="275"/>
      <c r="S82" s="275">
        <f>+S88*100</f>
        <v>1642090.4636390104</v>
      </c>
      <c r="T82" s="276"/>
      <c r="U82" s="275"/>
      <c r="V82" s="277">
        <f>+V88*100</f>
        <v>1682942.5361306211</v>
      </c>
      <c r="W82" s="276"/>
      <c r="X82" s="275"/>
      <c r="Y82" s="277">
        <f>+Y88*100</f>
        <v>1720687.9081705695</v>
      </c>
      <c r="Z82" s="275"/>
      <c r="AA82" s="275"/>
      <c r="AB82" s="278">
        <f>+AB88*100</f>
        <v>1780876.3430979282</v>
      </c>
      <c r="AC82" s="275">
        <f t="shared" ref="AC82:AH82" si="133">+AC88*100</f>
        <v>1800462.5677618594</v>
      </c>
      <c r="AD82" s="275">
        <f t="shared" si="133"/>
        <v>1802098.9707580789</v>
      </c>
      <c r="AE82" s="275">
        <f t="shared" si="133"/>
        <v>1850191.4933969066</v>
      </c>
      <c r="AF82" s="276">
        <f t="shared" si="133"/>
        <v>1894926.8823858325</v>
      </c>
      <c r="AG82" s="275">
        <f t="shared" si="133"/>
        <v>1913632.3515674965</v>
      </c>
      <c r="AH82" s="277">
        <f t="shared" si="133"/>
        <v>1934268.8725171548</v>
      </c>
      <c r="AI82" s="276"/>
      <c r="AJ82" s="275"/>
      <c r="AK82" s="277"/>
      <c r="AL82" s="275"/>
      <c r="AM82" s="275"/>
      <c r="AN82" s="278"/>
      <c r="AO82" s="115"/>
      <c r="AP82" s="115"/>
      <c r="AQ82" s="115"/>
      <c r="AR82" s="115"/>
      <c r="AS82" s="115"/>
      <c r="AT82" s="115"/>
      <c r="AU82" s="115"/>
      <c r="AV82" s="115"/>
      <c r="AW82" s="115"/>
    </row>
    <row r="83" spans="3:49">
      <c r="C83" s="269" t="s">
        <v>186</v>
      </c>
      <c r="D83" s="270"/>
      <c r="E83" s="270"/>
      <c r="F83" s="270"/>
      <c r="G83" s="270"/>
      <c r="H83" s="271">
        <f t="shared" si="132"/>
        <v>1742813.761408</v>
      </c>
      <c r="I83" s="272">
        <f t="shared" si="131"/>
        <v>1996023.8948850001</v>
      </c>
      <c r="J83" s="272">
        <f t="shared" si="131"/>
        <v>2134905.4020759999</v>
      </c>
      <c r="K83" s="273">
        <f t="shared" si="131"/>
        <v>2024314.44564</v>
      </c>
      <c r="L83" s="271">
        <f t="shared" si="131"/>
        <v>1417967.4576709999</v>
      </c>
      <c r="M83" s="272">
        <f t="shared" si="131"/>
        <v>1451130.4850079999</v>
      </c>
      <c r="N83" s="272">
        <f t="shared" si="131"/>
        <v>0</v>
      </c>
      <c r="O83" s="273">
        <f t="shared" si="131"/>
        <v>0</v>
      </c>
      <c r="Q83" s="274"/>
      <c r="R83" s="275"/>
      <c r="S83" s="275">
        <f>+[3]공시용_BS!$D$44/1000000</f>
        <v>1742813.761408</v>
      </c>
      <c r="T83" s="276"/>
      <c r="U83" s="275"/>
      <c r="V83" s="277">
        <f>+[4]공시용_BS!$D$44/1000000</f>
        <v>1996023.8948850001</v>
      </c>
      <c r="W83" s="276"/>
      <c r="X83" s="275"/>
      <c r="Y83" s="277">
        <f>+[5]공시용_BS!$D$44/1000000</f>
        <v>2134905.4020759999</v>
      </c>
      <c r="Z83" s="275"/>
      <c r="AA83" s="275"/>
      <c r="AB83" s="278">
        <f>+[6]공시용_BS!$D$44/1000000</f>
        <v>2024314.44564</v>
      </c>
      <c r="AC83" s="275"/>
      <c r="AD83" s="275"/>
      <c r="AE83" s="275">
        <f>+[7]공시용_BS!$D$44/1000000</f>
        <v>1417967.4576709999</v>
      </c>
      <c r="AF83" s="276"/>
      <c r="AG83" s="275"/>
      <c r="AH83" s="277">
        <f>+[8]공시용_BS!$D$44/1000000</f>
        <v>1451130.4850079999</v>
      </c>
      <c r="AI83" s="276"/>
      <c r="AJ83" s="275"/>
      <c r="AK83" s="277"/>
      <c r="AL83" s="275"/>
      <c r="AM83" s="275"/>
      <c r="AN83" s="278"/>
      <c r="AO83" s="115"/>
      <c r="AP83" s="115"/>
      <c r="AQ83" s="115"/>
      <c r="AR83" s="115"/>
      <c r="AS83" s="115"/>
      <c r="AT83" s="115"/>
      <c r="AU83" s="115"/>
      <c r="AV83" s="115"/>
      <c r="AW83" s="115"/>
    </row>
    <row r="85" spans="3:49" ht="20.25">
      <c r="C85" s="210" t="s">
        <v>187</v>
      </c>
      <c r="O85" s="39" t="s">
        <v>195</v>
      </c>
    </row>
    <row r="86" spans="3:49">
      <c r="C86" s="479" t="s">
        <v>124</v>
      </c>
      <c r="D86" s="480"/>
      <c r="E86" s="480"/>
      <c r="F86" s="480"/>
      <c r="G86" s="481"/>
      <c r="H86" s="485">
        <v>2022</v>
      </c>
      <c r="I86" s="486"/>
      <c r="J86" s="486"/>
      <c r="K86" s="486"/>
      <c r="L86" s="485">
        <v>2023</v>
      </c>
      <c r="M86" s="486"/>
      <c r="N86" s="486"/>
      <c r="O86" s="487"/>
      <c r="Q86" s="142">
        <v>202201</v>
      </c>
      <c r="R86" s="140">
        <f>+Q86+1</f>
        <v>202202</v>
      </c>
      <c r="S86" s="140">
        <f t="shared" ref="S86" si="134">+R86+1</f>
        <v>202203</v>
      </c>
      <c r="T86" s="147">
        <f t="shared" ref="T86" si="135">+S86+1</f>
        <v>202204</v>
      </c>
      <c r="U86" s="140">
        <f t="shared" ref="U86" si="136">+T86+1</f>
        <v>202205</v>
      </c>
      <c r="V86" s="148">
        <f t="shared" ref="V86" si="137">+U86+1</f>
        <v>202206</v>
      </c>
      <c r="W86" s="147">
        <f t="shared" ref="W86" si="138">+V86+1</f>
        <v>202207</v>
      </c>
      <c r="X86" s="140">
        <f t="shared" ref="X86" si="139">+W86+1</f>
        <v>202208</v>
      </c>
      <c r="Y86" s="148">
        <f t="shared" ref="Y86" si="140">+X86+1</f>
        <v>202209</v>
      </c>
      <c r="Z86" s="140">
        <f t="shared" ref="Z86" si="141">+Y86+1</f>
        <v>202210</v>
      </c>
      <c r="AA86" s="140">
        <f t="shared" ref="AA86" si="142">+Z86+1</f>
        <v>202211</v>
      </c>
      <c r="AB86" s="141">
        <f t="shared" ref="AB86" si="143">+AA86+1</f>
        <v>202212</v>
      </c>
      <c r="AC86" s="140">
        <f>+Q86+100</f>
        <v>202301</v>
      </c>
      <c r="AD86" s="140">
        <f t="shared" ref="AD86" si="144">+R86+100</f>
        <v>202302</v>
      </c>
      <c r="AE86" s="140">
        <f t="shared" ref="AE86" si="145">+S86+100</f>
        <v>202303</v>
      </c>
      <c r="AF86" s="147">
        <f t="shared" ref="AF86" si="146">+T86+100</f>
        <v>202304</v>
      </c>
      <c r="AG86" s="140">
        <f t="shared" ref="AG86" si="147">+U86+100</f>
        <v>202305</v>
      </c>
      <c r="AH86" s="148">
        <f t="shared" ref="AH86" si="148">+V86+100</f>
        <v>202306</v>
      </c>
      <c r="AI86" s="147">
        <f t="shared" ref="AI86" si="149">+W86+100</f>
        <v>202307</v>
      </c>
      <c r="AJ86" s="140">
        <f t="shared" ref="AJ86" si="150">+X86+100</f>
        <v>202308</v>
      </c>
      <c r="AK86" s="148">
        <f t="shared" ref="AK86" si="151">+Y86+100</f>
        <v>202309</v>
      </c>
      <c r="AL86" s="140">
        <f t="shared" ref="AL86" si="152">+Z86+100</f>
        <v>202310</v>
      </c>
      <c r="AM86" s="140">
        <f t="shared" ref="AM86" si="153">+AA86+100</f>
        <v>202311</v>
      </c>
      <c r="AN86" s="141">
        <f t="shared" ref="AN86" si="154">+AB86+100</f>
        <v>202312</v>
      </c>
    </row>
    <row r="87" spans="3:49">
      <c r="C87" s="482"/>
      <c r="D87" s="483"/>
      <c r="E87" s="483"/>
      <c r="F87" s="483"/>
      <c r="G87" s="484"/>
      <c r="H87" s="186" t="s">
        <v>126</v>
      </c>
      <c r="I87" s="187" t="s">
        <v>127</v>
      </c>
      <c r="J87" s="187" t="s">
        <v>128</v>
      </c>
      <c r="K87" s="188" t="s">
        <v>129</v>
      </c>
      <c r="L87" s="186" t="s">
        <v>126</v>
      </c>
      <c r="M87" s="187" t="s">
        <v>127</v>
      </c>
      <c r="N87" s="187" t="s">
        <v>128</v>
      </c>
      <c r="O87" s="188" t="s">
        <v>129</v>
      </c>
      <c r="Q87" s="142"/>
      <c r="R87" s="140"/>
      <c r="S87" s="140"/>
      <c r="T87" s="147"/>
      <c r="U87" s="140"/>
      <c r="V87" s="148"/>
      <c r="W87" s="147"/>
      <c r="X87" s="140"/>
      <c r="Y87" s="148"/>
      <c r="Z87" s="140"/>
      <c r="AA87" s="140"/>
      <c r="AB87" s="141"/>
      <c r="AC87" s="140"/>
      <c r="AD87" s="140"/>
      <c r="AE87" s="140"/>
      <c r="AF87" s="147"/>
      <c r="AG87" s="140"/>
      <c r="AH87" s="148"/>
      <c r="AI87" s="147"/>
      <c r="AJ87" s="140"/>
      <c r="AK87" s="148"/>
      <c r="AL87" s="140"/>
      <c r="AM87" s="140"/>
      <c r="AN87" s="141"/>
    </row>
    <row r="88" spans="3:49">
      <c r="C88" s="164" t="s">
        <v>188</v>
      </c>
      <c r="D88" s="165"/>
      <c r="E88" s="165"/>
      <c r="F88" s="165"/>
      <c r="G88" s="165"/>
      <c r="H88" s="201">
        <f>+S88</f>
        <v>16420.904636390103</v>
      </c>
      <c r="I88" s="202">
        <f>+H93</f>
        <v>16829.425361306221</v>
      </c>
      <c r="J88" s="202">
        <f t="shared" ref="J88:O88" si="155">+I93</f>
        <v>17206.879081705691</v>
      </c>
      <c r="K88" s="203">
        <f t="shared" si="155"/>
        <v>17808.763430979285</v>
      </c>
      <c r="L88" s="201">
        <f t="shared" si="155"/>
        <v>18004.625677618598</v>
      </c>
      <c r="M88" s="202">
        <f t="shared" si="155"/>
        <v>18949.268823858336</v>
      </c>
      <c r="N88" s="202">
        <f t="shared" si="155"/>
        <v>19633.505202548891</v>
      </c>
      <c r="O88" s="203">
        <f t="shared" si="155"/>
        <v>19633.505202548891</v>
      </c>
      <c r="Q88" s="166"/>
      <c r="R88" s="167"/>
      <c r="S88" s="167">
        <f>+'[2]CSM상각률(당월)'!$F$11</f>
        <v>16420.904636390103</v>
      </c>
      <c r="T88" s="168"/>
      <c r="U88" s="167"/>
      <c r="V88" s="169">
        <f>+'[2]CSM상각률(당월)'!$I$11</f>
        <v>16829.42536130621</v>
      </c>
      <c r="W88" s="168"/>
      <c r="X88" s="167"/>
      <c r="Y88" s="169">
        <f>+'[2]CSM상각률(당월)'!$L$11</f>
        <v>17206.879081705694</v>
      </c>
      <c r="Z88" s="167"/>
      <c r="AA88" s="167"/>
      <c r="AB88" s="170">
        <f>+'[2]CSM상각률(당월)'!$O$11</f>
        <v>17808.763430979281</v>
      </c>
      <c r="AC88" s="167">
        <f>+'[2]CSM상각률(당월)'!$V$11</f>
        <v>18004.625677618595</v>
      </c>
      <c r="AD88" s="167">
        <f>+'[2]CSM상각률(당월)'!$Y$11</f>
        <v>18020.989707580789</v>
      </c>
      <c r="AE88" s="167">
        <f>+'[2]CSM상각률(당월)'!$AB$11</f>
        <v>18501.914933969067</v>
      </c>
      <c r="AF88" s="168">
        <f>+'[2]CSM상각률(당월)'!$AE$11</f>
        <v>18949.268823858325</v>
      </c>
      <c r="AG88" s="167">
        <f>+'[2]CSM상각률(당월)'!$AH$11</f>
        <v>19136.323515674965</v>
      </c>
      <c r="AH88" s="169">
        <f>+'[2]CSM상각률(당월)'!$AK$11</f>
        <v>19342.688725171549</v>
      </c>
      <c r="AI88" s="168"/>
      <c r="AJ88" s="167"/>
      <c r="AK88" s="169"/>
      <c r="AL88" s="167"/>
      <c r="AM88" s="167"/>
      <c r="AN88" s="170"/>
      <c r="AO88" s="115"/>
      <c r="AP88" s="115"/>
      <c r="AQ88" s="115"/>
      <c r="AR88" s="115"/>
      <c r="AS88" s="115"/>
      <c r="AT88" s="115"/>
      <c r="AU88" s="115"/>
      <c r="AV88" s="115"/>
      <c r="AW88" s="115"/>
    </row>
    <row r="89" spans="3:49">
      <c r="C89" s="123"/>
      <c r="D89" s="171" t="s">
        <v>189</v>
      </c>
      <c r="E89" s="172"/>
      <c r="F89" s="172"/>
      <c r="G89" s="172"/>
      <c r="H89" s="189">
        <f t="shared" ref="H89:O92" si="156">+SUMIFS($Q89:$AN89,$Q$8:$AN$8,H$8,$Q$9:$AN$9,H$9)</f>
        <v>722.13555861759392</v>
      </c>
      <c r="I89" s="190">
        <f t="shared" si="156"/>
        <v>788.65575089554727</v>
      </c>
      <c r="J89" s="190">
        <f t="shared" si="156"/>
        <v>1153.1674613941525</v>
      </c>
      <c r="K89" s="191">
        <f t="shared" si="156"/>
        <v>1272.4148495741038</v>
      </c>
      <c r="L89" s="189">
        <f t="shared" si="156"/>
        <v>1551.4853663412414</v>
      </c>
      <c r="M89" s="190">
        <f t="shared" si="156"/>
        <v>1099.5243202201709</v>
      </c>
      <c r="N89" s="190">
        <f t="shared" si="156"/>
        <v>0</v>
      </c>
      <c r="O89" s="191">
        <f t="shared" si="156"/>
        <v>0</v>
      </c>
      <c r="Q89" s="173"/>
      <c r="R89" s="174"/>
      <c r="S89" s="174">
        <f>+'[2]CSM상각률(당월)'!$F$12</f>
        <v>722.13555861759392</v>
      </c>
      <c r="T89" s="175"/>
      <c r="U89" s="174"/>
      <c r="V89" s="176">
        <f>+'[2]CSM상각률(당월)'!$I$12</f>
        <v>788.65575089554727</v>
      </c>
      <c r="W89" s="175"/>
      <c r="X89" s="174"/>
      <c r="Y89" s="176">
        <f>+'[2]CSM상각률(당월)'!$L$12</f>
        <v>1153.1674613941525</v>
      </c>
      <c r="Z89" s="174"/>
      <c r="AA89" s="174"/>
      <c r="AB89" s="177">
        <f>+'[2]CSM상각률(당월)'!$O$12</f>
        <v>1272.4148495741038</v>
      </c>
      <c r="AC89" s="174">
        <f>+'[2]CSM상각률(당월)'!$V$12</f>
        <v>487.86976623971788</v>
      </c>
      <c r="AD89" s="174">
        <f>+'[2]CSM상각률(당월)'!$Y$12</f>
        <v>556.2206686008858</v>
      </c>
      <c r="AE89" s="174">
        <f>+'[2]CSM상각률(당월)'!$AB$12</f>
        <v>507.39493150063777</v>
      </c>
      <c r="AF89" s="175">
        <f>+'[2]CSM상각률(당월)'!$AE$12</f>
        <v>354.546914745084</v>
      </c>
      <c r="AG89" s="174">
        <f>+'[2]CSM상각률(당월)'!$AH$12</f>
        <v>315.91797695858031</v>
      </c>
      <c r="AH89" s="176">
        <f>+'[2]CSM상각률(당월)'!$AK$12</f>
        <v>429.05942851650661</v>
      </c>
      <c r="AI89" s="175"/>
      <c r="AJ89" s="174"/>
      <c r="AK89" s="176"/>
      <c r="AL89" s="174"/>
      <c r="AM89" s="174"/>
      <c r="AN89" s="177"/>
      <c r="AO89" s="115"/>
      <c r="AP89" s="115"/>
      <c r="AQ89" s="115"/>
      <c r="AR89" s="115"/>
      <c r="AS89" s="115"/>
      <c r="AT89" s="115"/>
      <c r="AU89" s="115"/>
      <c r="AV89" s="115"/>
      <c r="AW89" s="115"/>
    </row>
    <row r="90" spans="3:49">
      <c r="C90" s="123"/>
      <c r="D90" s="178" t="s">
        <v>190</v>
      </c>
      <c r="E90" s="179"/>
      <c r="F90" s="179"/>
      <c r="G90" s="179"/>
      <c r="H90" s="195">
        <f t="shared" si="156"/>
        <v>154.33663848111135</v>
      </c>
      <c r="I90" s="196">
        <f t="shared" si="156"/>
        <v>160.94474910938214</v>
      </c>
      <c r="J90" s="196">
        <f t="shared" si="156"/>
        <v>169.67471003058793</v>
      </c>
      <c r="K90" s="197">
        <f t="shared" si="156"/>
        <v>177.68696914863366</v>
      </c>
      <c r="L90" s="195">
        <f t="shared" si="156"/>
        <v>182.67837846443436</v>
      </c>
      <c r="M90" s="196">
        <f t="shared" si="156"/>
        <v>195.26126590438159</v>
      </c>
      <c r="N90" s="196">
        <f t="shared" si="156"/>
        <v>0</v>
      </c>
      <c r="O90" s="197">
        <f t="shared" si="156"/>
        <v>0</v>
      </c>
      <c r="Q90" s="180"/>
      <c r="R90" s="181"/>
      <c r="S90" s="181">
        <f>+'[2]CSM상각률(당월)'!$F$14</f>
        <v>154.33663848111135</v>
      </c>
      <c r="T90" s="182"/>
      <c r="U90" s="181"/>
      <c r="V90" s="183">
        <f>+'[2]CSM상각률(당월)'!$I$14</f>
        <v>160.94474910938214</v>
      </c>
      <c r="W90" s="182"/>
      <c r="X90" s="181"/>
      <c r="Y90" s="183">
        <f>+'[2]CSM상각률(당월)'!$L$14</f>
        <v>169.67471003058793</v>
      </c>
      <c r="Z90" s="181"/>
      <c r="AA90" s="181"/>
      <c r="AB90" s="184">
        <f>+'[2]CSM상각률(당월)'!$O$14</f>
        <v>177.68696914863366</v>
      </c>
      <c r="AC90" s="181">
        <f>+'[2]CSM상각률(당월)'!$V$14</f>
        <v>58.700287288128017</v>
      </c>
      <c r="AD90" s="181">
        <f>+'[2]CSM상각률(당월)'!$Y$14</f>
        <v>60.914265909274782</v>
      </c>
      <c r="AE90" s="181">
        <f>+'[2]CSM상각률(당월)'!$AB$14</f>
        <v>63.063825267031561</v>
      </c>
      <c r="AF90" s="182">
        <f>+'[2]CSM상각률(당월)'!$AE$14</f>
        <v>62.244906480813853</v>
      </c>
      <c r="AG90" s="181">
        <f>+'[2]CSM상각률(당월)'!$AH$14</f>
        <v>63.593393174983873</v>
      </c>
      <c r="AH90" s="183">
        <f>+'[2]CSM상각률(당월)'!$AK$14</f>
        <v>69.422966248583862</v>
      </c>
      <c r="AI90" s="182"/>
      <c r="AJ90" s="181"/>
      <c r="AK90" s="183"/>
      <c r="AL90" s="181"/>
      <c r="AM90" s="181"/>
      <c r="AN90" s="184"/>
      <c r="AO90" s="115"/>
      <c r="AP90" s="115"/>
      <c r="AQ90" s="115"/>
      <c r="AR90" s="115"/>
      <c r="AS90" s="115"/>
      <c r="AT90" s="115"/>
      <c r="AU90" s="115"/>
      <c r="AV90" s="115"/>
      <c r="AW90" s="115"/>
    </row>
    <row r="91" spans="3:49">
      <c r="C91" s="123"/>
      <c r="D91" s="178" t="s">
        <v>191</v>
      </c>
      <c r="E91" s="179"/>
      <c r="F91" s="179"/>
      <c r="G91" s="179"/>
      <c r="H91" s="195">
        <f t="shared" si="156"/>
        <v>-91.939768646255516</v>
      </c>
      <c r="I91" s="196">
        <f t="shared" si="156"/>
        <v>-178.93676637235515</v>
      </c>
      <c r="J91" s="196">
        <f t="shared" si="156"/>
        <v>-313.43364839060996</v>
      </c>
      <c r="K91" s="197">
        <f t="shared" si="156"/>
        <v>-856.35566886753304</v>
      </c>
      <c r="L91" s="195">
        <f t="shared" si="156"/>
        <v>-379.26112159898651</v>
      </c>
      <c r="M91" s="196">
        <f t="shared" si="156"/>
        <v>-177.41638212753082</v>
      </c>
      <c r="N91" s="196">
        <f t="shared" si="156"/>
        <v>0</v>
      </c>
      <c r="O91" s="197">
        <f t="shared" si="156"/>
        <v>0</v>
      </c>
      <c r="Q91" s="180"/>
      <c r="R91" s="181"/>
      <c r="S91" s="181">
        <f>+SUM('[2]CSM상각률(당월)'!$F$13,'[2]CSM상각률(당월)'!$F$15:$F$20)</f>
        <v>-91.939768646255516</v>
      </c>
      <c r="T91" s="182"/>
      <c r="U91" s="181"/>
      <c r="V91" s="183">
        <f>+SUM('[2]CSM상각률(당월)'!$I$13,'[2]CSM상각률(당월)'!$I$15:$I$20)</f>
        <v>-178.93676637235515</v>
      </c>
      <c r="W91" s="182"/>
      <c r="X91" s="181"/>
      <c r="Y91" s="183">
        <f>+SUM('[2]CSM상각률(당월)'!$L$13,'[2]CSM상각률(당월)'!$L$15:$L$20)</f>
        <v>-313.43364839060996</v>
      </c>
      <c r="Z91" s="181"/>
      <c r="AA91" s="181"/>
      <c r="AB91" s="184">
        <f>+SUM('[2]CSM상각률(당월)'!$O$13,'[2]CSM상각률(당월)'!$O$15:$O$20)</f>
        <v>-856.35566886753304</v>
      </c>
      <c r="AC91" s="181">
        <f>+SUM('[2]CSM상각률(당월)'!$V$13,'[2]CSM상각률(당월)'!$V$15:$V$20)</f>
        <v>-396.75625606092524</v>
      </c>
      <c r="AD91" s="181">
        <f>+SUM('[2]CSM상각률(당월)'!$Y$13,'[2]CSM상각률(당월)'!$Y$15:$Y$20)</f>
        <v>2.0864900565655375E-2</v>
      </c>
      <c r="AE91" s="181">
        <f>+SUM('[2]CSM상각률(당월)'!$AB$13,'[2]CSM상각률(당월)'!$AB$15:$AB$20)</f>
        <v>17.474269561373063</v>
      </c>
      <c r="AF91" s="182">
        <f>+SUM('[2]CSM상각률(당월)'!$AE$13,'[2]CSM상각률(당월)'!$AE$15:$AE$20)</f>
        <v>-86.311996374582577</v>
      </c>
      <c r="AG91" s="181">
        <f>+SUM('[2]CSM상각률(당월)'!$AH$13,'[2]CSM상각률(당월)'!$AH$15:$AH$20)</f>
        <v>-31.52707447118469</v>
      </c>
      <c r="AH91" s="183">
        <f>+SUM('[2]CSM상각률(당월)'!$AK$13,'[2]CSM상각률(당월)'!$AK$15:$AK$20)</f>
        <v>-59.577311281763542</v>
      </c>
      <c r="AI91" s="182"/>
      <c r="AJ91" s="181"/>
      <c r="AK91" s="183"/>
      <c r="AL91" s="181"/>
      <c r="AM91" s="181"/>
      <c r="AN91" s="184"/>
      <c r="AO91" s="115"/>
      <c r="AP91" s="115"/>
      <c r="AQ91" s="115"/>
      <c r="AR91" s="115"/>
      <c r="AS91" s="115"/>
      <c r="AT91" s="115"/>
      <c r="AU91" s="115"/>
      <c r="AV91" s="115"/>
      <c r="AW91" s="115"/>
    </row>
    <row r="92" spans="3:49">
      <c r="C92" s="123"/>
      <c r="D92" s="279" t="s">
        <v>192</v>
      </c>
      <c r="E92" s="280"/>
      <c r="F92" s="280"/>
      <c r="G92" s="280"/>
      <c r="H92" s="281">
        <f t="shared" si="156"/>
        <v>-376.01170353633205</v>
      </c>
      <c r="I92" s="282">
        <f t="shared" si="156"/>
        <v>-393.21001323310361</v>
      </c>
      <c r="J92" s="282">
        <f t="shared" si="156"/>
        <v>-407.52417376054024</v>
      </c>
      <c r="K92" s="283">
        <f t="shared" si="156"/>
        <v>-397.88390321589054</v>
      </c>
      <c r="L92" s="281">
        <f t="shared" si="156"/>
        <v>-410.25947696695408</v>
      </c>
      <c r="M92" s="282">
        <f t="shared" si="156"/>
        <v>-433.13282530646353</v>
      </c>
      <c r="N92" s="282">
        <f t="shared" si="156"/>
        <v>0</v>
      </c>
      <c r="O92" s="283">
        <f t="shared" si="156"/>
        <v>0</v>
      </c>
      <c r="Q92" s="284"/>
      <c r="R92" s="285"/>
      <c r="S92" s="285">
        <f>+'[2]CSM상각률(당월)'!$F$21</f>
        <v>-376.01170353633205</v>
      </c>
      <c r="T92" s="286"/>
      <c r="U92" s="285"/>
      <c r="V92" s="287">
        <f>+'[2]CSM상각률(당월)'!$I$21</f>
        <v>-393.21001323310361</v>
      </c>
      <c r="W92" s="286"/>
      <c r="X92" s="285"/>
      <c r="Y92" s="287">
        <f>+'[2]CSM상각률(당월)'!$L$21</f>
        <v>-407.52417376054024</v>
      </c>
      <c r="Z92" s="285"/>
      <c r="AA92" s="285"/>
      <c r="AB92" s="288">
        <f>+'[2]CSM상각률(당월)'!$O$21</f>
        <v>-397.88390321589054</v>
      </c>
      <c r="AC92" s="285">
        <f>+'[2]CSM상각률(당월)'!$V$21</f>
        <v>-133.44976750473458</v>
      </c>
      <c r="AD92" s="285">
        <f>+'[2]CSM상각률(당월)'!$Y$21</f>
        <v>-136.23057302244203</v>
      </c>
      <c r="AE92" s="285">
        <f>+'[2]CSM상각률(당월)'!$AB$21</f>
        <v>-140.57913643977747</v>
      </c>
      <c r="AF92" s="286">
        <f>+'[2]CSM상각률(당월)'!$AE$21</f>
        <v>-143.42513303466211</v>
      </c>
      <c r="AG92" s="285">
        <f>+'[2]CSM상각률(당월)'!$AH$21</f>
        <v>-141.61908616581741</v>
      </c>
      <c r="AH92" s="287">
        <f>+'[2]CSM상각률(당월)'!$AK$21</f>
        <v>-148.08860610598401</v>
      </c>
      <c r="AI92" s="286"/>
      <c r="AJ92" s="285"/>
      <c r="AK92" s="287"/>
      <c r="AL92" s="285"/>
      <c r="AM92" s="285"/>
      <c r="AN92" s="288"/>
      <c r="AO92" s="115"/>
      <c r="AP92" s="115"/>
      <c r="AQ92" s="115"/>
      <c r="AR92" s="115"/>
      <c r="AS92" s="115"/>
      <c r="AT92" s="115"/>
      <c r="AU92" s="115"/>
      <c r="AV92" s="115"/>
      <c r="AW92" s="115"/>
    </row>
    <row r="93" spans="3:49">
      <c r="C93" s="157" t="s">
        <v>193</v>
      </c>
      <c r="D93" s="158"/>
      <c r="E93" s="158"/>
      <c r="F93" s="158"/>
      <c r="G93" s="158"/>
      <c r="H93" s="198">
        <f>+SUM(H88:H92)</f>
        <v>16829.425361306221</v>
      </c>
      <c r="I93" s="199">
        <f t="shared" ref="I93:O93" si="157">+SUM(I88:I92)</f>
        <v>17206.879081705691</v>
      </c>
      <c r="J93" s="199">
        <f t="shared" si="157"/>
        <v>17808.763430979285</v>
      </c>
      <c r="K93" s="200">
        <f t="shared" si="157"/>
        <v>18004.625677618598</v>
      </c>
      <c r="L93" s="198">
        <f t="shared" si="157"/>
        <v>18949.268823858336</v>
      </c>
      <c r="M93" s="199">
        <f t="shared" si="157"/>
        <v>19633.505202548891</v>
      </c>
      <c r="N93" s="199">
        <f t="shared" si="157"/>
        <v>19633.505202548891</v>
      </c>
      <c r="O93" s="200">
        <f t="shared" si="157"/>
        <v>19633.505202548891</v>
      </c>
      <c r="Q93" s="159">
        <f t="shared" ref="Q93" si="158">+SUM(Q88:Q92)</f>
        <v>0</v>
      </c>
      <c r="R93" s="160">
        <f t="shared" ref="R93" si="159">+SUM(R88:R92)</f>
        <v>0</v>
      </c>
      <c r="S93" s="160">
        <f t="shared" ref="S93" si="160">+SUM(S88:S92)</f>
        <v>16829.425361306221</v>
      </c>
      <c r="T93" s="161">
        <f t="shared" ref="T93" si="161">+SUM(T88:T92)</f>
        <v>0</v>
      </c>
      <c r="U93" s="160">
        <f t="shared" ref="U93" si="162">+SUM(U88:U92)</f>
        <v>0</v>
      </c>
      <c r="V93" s="162">
        <f t="shared" ref="V93" si="163">+SUM(V88:V92)</f>
        <v>17206.87908170568</v>
      </c>
      <c r="W93" s="161">
        <f t="shared" ref="W93" si="164">+SUM(W88:W92)</f>
        <v>0</v>
      </c>
      <c r="X93" s="160">
        <f t="shared" ref="X93" si="165">+SUM(X88:X92)</f>
        <v>0</v>
      </c>
      <c r="Y93" s="162">
        <f t="shared" ref="Y93" si="166">+SUM(Y88:Y92)</f>
        <v>17808.763430979285</v>
      </c>
      <c r="Z93" s="160">
        <f t="shared" ref="Z93" si="167">+SUM(Z88:Z92)</f>
        <v>0</v>
      </c>
      <c r="AA93" s="160">
        <f t="shared" ref="AA93" si="168">+SUM(AA88:AA92)</f>
        <v>0</v>
      </c>
      <c r="AB93" s="163">
        <f t="shared" ref="AB93" si="169">+SUM(AB88:AB92)</f>
        <v>18004.625677618595</v>
      </c>
      <c r="AC93" s="160">
        <f t="shared" ref="AC93" si="170">+SUM(AC88:AC92)</f>
        <v>18020.989707580778</v>
      </c>
      <c r="AD93" s="160">
        <f t="shared" ref="AD93" si="171">+SUM(AD88:AD92)</f>
        <v>18501.914933969074</v>
      </c>
      <c r="AE93" s="160">
        <f t="shared" ref="AE93" si="172">+SUM(AE88:AE92)</f>
        <v>18949.268823858332</v>
      </c>
      <c r="AF93" s="161">
        <f t="shared" ref="AF93" si="173">+SUM(AF88:AF92)</f>
        <v>19136.323515674976</v>
      </c>
      <c r="AG93" s="160">
        <f t="shared" ref="AG93" si="174">+SUM(AG88:AG92)</f>
        <v>19342.688725171523</v>
      </c>
      <c r="AH93" s="162">
        <f t="shared" ref="AH93" si="175">+SUM(AH88:AH92)</f>
        <v>19633.505202548895</v>
      </c>
      <c r="AI93" s="161">
        <f t="shared" ref="AI93" si="176">+SUM(AI88:AI92)</f>
        <v>0</v>
      </c>
      <c r="AJ93" s="160">
        <f t="shared" ref="AJ93" si="177">+SUM(AJ88:AJ92)</f>
        <v>0</v>
      </c>
      <c r="AK93" s="162">
        <f t="shared" ref="AK93" si="178">+SUM(AK88:AK92)</f>
        <v>0</v>
      </c>
      <c r="AL93" s="160">
        <f t="shared" ref="AL93" si="179">+SUM(AL88:AL92)</f>
        <v>0</v>
      </c>
      <c r="AM93" s="160">
        <f t="shared" ref="AM93" si="180">+SUM(AM88:AM92)</f>
        <v>0</v>
      </c>
      <c r="AN93" s="163">
        <f t="shared" ref="AN93" si="181">+SUM(AN88:AN92)</f>
        <v>0</v>
      </c>
      <c r="AO93" s="115"/>
      <c r="AP93" s="115"/>
      <c r="AQ93" s="115"/>
      <c r="AR93" s="115"/>
      <c r="AS93" s="115"/>
      <c r="AT93" s="115"/>
      <c r="AU93" s="115"/>
      <c r="AV93" s="115"/>
      <c r="AW93" s="115"/>
    </row>
    <row r="96" spans="3:49">
      <c r="C96" s="39" t="s">
        <v>181</v>
      </c>
      <c r="Q96" s="185">
        <f>+[9]월별!EB5-Q13/100</f>
        <v>0</v>
      </c>
      <c r="R96" s="185">
        <f>+[9]월별!EC5-R13/100</f>
        <v>0</v>
      </c>
      <c r="S96" s="185">
        <f>+[9]월별!ED5-S13/100</f>
        <v>0</v>
      </c>
      <c r="T96" s="185">
        <f>+[9]월별!EE5-T13/100</f>
        <v>0</v>
      </c>
      <c r="U96" s="185">
        <f>+[9]월별!EF5-U13/100</f>
        <v>0</v>
      </c>
      <c r="V96" s="185">
        <f>+[9]월별!EG5-V13/100</f>
        <v>0</v>
      </c>
      <c r="W96" s="185">
        <f>+[9]월별!EH5-W13/100</f>
        <v>0</v>
      </c>
      <c r="X96" s="185">
        <f>+[9]월별!EI5-X13/100</f>
        <v>0</v>
      </c>
      <c r="Y96" s="185">
        <f>+[9]월별!EJ5-Y13/100</f>
        <v>0</v>
      </c>
      <c r="Z96" s="185">
        <f>+[9]월별!EK5-Z13/100</f>
        <v>0</v>
      </c>
      <c r="AA96" s="185">
        <f>+[9]월별!EL5-AA13/100</f>
        <v>0</v>
      </c>
      <c r="AB96" s="185">
        <f>+[9]월별!EM5-AB13/100</f>
        <v>0</v>
      </c>
      <c r="AC96" s="185">
        <f>+[9]월별!EN5-AC13/100</f>
        <v>0</v>
      </c>
      <c r="AD96" s="185">
        <f>+[9]월별!EO5-AD13/100</f>
        <v>0</v>
      </c>
      <c r="AE96" s="185">
        <f>+[9]월별!EP5-AE13/100</f>
        <v>0</v>
      </c>
      <c r="AF96" s="185">
        <f>+[9]월별!EQ5-AF13/100</f>
        <v>0</v>
      </c>
      <c r="AG96" s="185">
        <f>+[9]월별!ER5-AG13/100</f>
        <v>0</v>
      </c>
      <c r="AH96" s="185">
        <f>+[9]월별!ES5-AH13/100</f>
        <v>0</v>
      </c>
    </row>
    <row r="97" spans="3:34">
      <c r="C97" s="39" t="s">
        <v>181</v>
      </c>
      <c r="Q97" s="185">
        <f>+[9]월별!EB6-Q14/100</f>
        <v>0</v>
      </c>
      <c r="R97" s="185">
        <f>+[9]월별!EC6-R14/100</f>
        <v>0</v>
      </c>
      <c r="S97" s="185">
        <f>+[9]월별!ED6-S14/100</f>
        <v>0</v>
      </c>
      <c r="T97" s="185">
        <f>+[9]월별!EE6-T14/100</f>
        <v>0</v>
      </c>
      <c r="U97" s="185">
        <f>+[9]월별!EF6-U14/100</f>
        <v>0</v>
      </c>
      <c r="V97" s="185">
        <f>+[9]월별!EG6-V14/100</f>
        <v>0</v>
      </c>
      <c r="W97" s="185">
        <f>+[9]월별!EH6-W14/100</f>
        <v>0</v>
      </c>
      <c r="X97" s="185">
        <f>+[9]월별!EI6-X14/100</f>
        <v>0</v>
      </c>
      <c r="Y97" s="185">
        <f>+[9]월별!EJ6-Y14/100</f>
        <v>0</v>
      </c>
      <c r="Z97" s="185">
        <f>+[9]월별!EK6-Z14/100</f>
        <v>0</v>
      </c>
      <c r="AA97" s="185">
        <f>+[9]월별!EL6-AA14/100</f>
        <v>0</v>
      </c>
      <c r="AB97" s="185">
        <f>+[9]월별!EM6-AB14/100</f>
        <v>0</v>
      </c>
      <c r="AC97" s="185">
        <f>+[9]월별!EN6-AC14/100</f>
        <v>0</v>
      </c>
      <c r="AD97" s="185">
        <f>+[9]월별!EO6-AD14/100</f>
        <v>0</v>
      </c>
      <c r="AE97" s="185">
        <f>+[9]월별!EP6-AE14/100</f>
        <v>0</v>
      </c>
      <c r="AF97" s="185">
        <f>+[9]월별!EQ6-AF14/100</f>
        <v>0</v>
      </c>
      <c r="AG97" s="185">
        <f>+[9]월별!ER6-AG14/100</f>
        <v>0</v>
      </c>
      <c r="AH97" s="185">
        <f>+[9]월별!ES6-AH14/100</f>
        <v>0</v>
      </c>
    </row>
    <row r="98" spans="3:34">
      <c r="C98" s="39" t="s">
        <v>181</v>
      </c>
      <c r="Q98" s="185">
        <f t="shared" ref="Q98:AH98" si="182">+Q19-Q20-Q21</f>
        <v>6.3948846218409017E-14</v>
      </c>
      <c r="R98" s="185">
        <f t="shared" si="182"/>
        <v>4.4408920985006262E-14</v>
      </c>
      <c r="S98" s="185">
        <f t="shared" si="182"/>
        <v>0</v>
      </c>
      <c r="T98" s="185">
        <f t="shared" si="182"/>
        <v>2.8421709430404007E-14</v>
      </c>
      <c r="U98" s="185">
        <f t="shared" si="182"/>
        <v>0</v>
      </c>
      <c r="V98" s="185">
        <f t="shared" si="182"/>
        <v>2.3803181647963356E-13</v>
      </c>
      <c r="W98" s="185">
        <f t="shared" si="182"/>
        <v>0</v>
      </c>
      <c r="X98" s="185">
        <f t="shared" si="182"/>
        <v>-5.3290705182007514E-14</v>
      </c>
      <c r="Y98" s="185">
        <f t="shared" si="182"/>
        <v>1.4388490399142029E-13</v>
      </c>
      <c r="Z98" s="185">
        <f t="shared" si="182"/>
        <v>-1.9895196601282805E-13</v>
      </c>
      <c r="AA98" s="185">
        <f t="shared" si="182"/>
        <v>1.2434497875801753E-13</v>
      </c>
      <c r="AB98" s="185">
        <f t="shared" si="182"/>
        <v>1.5543122344752192E-13</v>
      </c>
      <c r="AC98" s="185">
        <f t="shared" si="182"/>
        <v>-3.979039320256561E-13</v>
      </c>
      <c r="AD98" s="185">
        <f t="shared" si="182"/>
        <v>-2.3447910280083306E-13</v>
      </c>
      <c r="AE98" s="185">
        <f t="shared" si="182"/>
        <v>-4.9382720135326963E-13</v>
      </c>
      <c r="AF98" s="185">
        <f t="shared" si="182"/>
        <v>-3.0908609005564358E-13</v>
      </c>
      <c r="AG98" s="185">
        <f t="shared" si="182"/>
        <v>-2.6645352591003757E-14</v>
      </c>
      <c r="AH98" s="185">
        <f t="shared" si="182"/>
        <v>-2.2026824808563106E-13</v>
      </c>
    </row>
    <row r="99" spans="3:34">
      <c r="C99" s="39" t="s">
        <v>181</v>
      </c>
      <c r="Q99" s="185">
        <f>+[9]월별!EB13+[9]월별!EB20-Q20/100</f>
        <v>0</v>
      </c>
      <c r="R99" s="185">
        <f>+[9]월별!EC13+[9]월별!EC20-R20/100</f>
        <v>0</v>
      </c>
      <c r="S99" s="185">
        <f>+[9]월별!ED13+[9]월별!ED20-S20/100</f>
        <v>0</v>
      </c>
      <c r="T99" s="185">
        <f>+[9]월별!EE13+[9]월별!EE20-T20/100</f>
        <v>0</v>
      </c>
      <c r="U99" s="185">
        <f>+[9]월별!EF13+[9]월별!EF20-U20/100</f>
        <v>0</v>
      </c>
      <c r="V99" s="185">
        <f>+[9]월별!EG13+[9]월별!EG20-V20/100</f>
        <v>0</v>
      </c>
      <c r="W99" s="185">
        <f>+[9]월별!EH13+[9]월별!EH20-W20/100</f>
        <v>0</v>
      </c>
      <c r="X99" s="185">
        <f>+[9]월별!EI13+[9]월별!EI20-X20/100</f>
        <v>0</v>
      </c>
      <c r="Y99" s="185">
        <f>+[9]월별!EJ13+[9]월별!EJ20-Y20/100</f>
        <v>0</v>
      </c>
      <c r="Z99" s="185">
        <f>+[9]월별!EK13+[9]월별!EK20-Z20/100</f>
        <v>0</v>
      </c>
      <c r="AA99" s="185">
        <f>+[9]월별!EL13+[9]월별!EL20-AA20/100</f>
        <v>0</v>
      </c>
      <c r="AB99" s="185">
        <f>+[9]월별!EM13+[9]월별!EM20-AB20/100</f>
        <v>0</v>
      </c>
      <c r="AC99" s="185">
        <f>+[9]월별!EN13+[9]월별!EN20-AC20/100</f>
        <v>0</v>
      </c>
      <c r="AD99" s="185">
        <f>+[9]월별!EO13+[9]월별!EO20-AD20/100</f>
        <v>0</v>
      </c>
      <c r="AE99" s="185">
        <f>+[9]월별!EP13+[9]월별!EP20-AE20/100</f>
        <v>0</v>
      </c>
      <c r="AF99" s="185">
        <f>+[9]월별!EQ13+[9]월별!EQ20-AF20/100</f>
        <v>0</v>
      </c>
      <c r="AG99" s="185">
        <f>+[9]월별!ER13+[9]월별!ER20-AG20/100</f>
        <v>0</v>
      </c>
      <c r="AH99" s="185">
        <f>+[9]월별!ES13+[9]월별!ES20-AH20/100</f>
        <v>0</v>
      </c>
    </row>
    <row r="100" spans="3:34">
      <c r="C100" s="39" t="s">
        <v>181</v>
      </c>
      <c r="Q100" s="185">
        <f>+[9]월별!EB27-Q21/100</f>
        <v>0</v>
      </c>
      <c r="R100" s="185">
        <f>+[9]월별!EC27-R21/100</f>
        <v>0</v>
      </c>
      <c r="S100" s="185">
        <f>+[9]월별!ED27-S21/100</f>
        <v>0</v>
      </c>
      <c r="T100" s="185">
        <f>+[9]월별!EE27-T21/100</f>
        <v>0</v>
      </c>
      <c r="U100" s="185">
        <f>+[9]월별!EF27-U21/100</f>
        <v>0</v>
      </c>
      <c r="V100" s="185">
        <f>+[9]월별!EG27-V21/100</f>
        <v>0</v>
      </c>
      <c r="W100" s="185">
        <f>+[9]월별!EH27-W21/100</f>
        <v>0</v>
      </c>
      <c r="X100" s="185">
        <f>+[9]월별!EI27-X21/100</f>
        <v>0</v>
      </c>
      <c r="Y100" s="185">
        <f>+[9]월별!EJ27-Y21/100</f>
        <v>0</v>
      </c>
      <c r="Z100" s="185">
        <f>+[9]월별!EK27-Z21/100</f>
        <v>0</v>
      </c>
      <c r="AA100" s="185">
        <f>+[9]월별!EL27-AA21/100</f>
        <v>0</v>
      </c>
      <c r="AB100" s="185">
        <f>+[9]월별!EM27-AB21/100</f>
        <v>0</v>
      </c>
      <c r="AC100" s="185">
        <f>+[9]월별!EN27-AC21/100</f>
        <v>0</v>
      </c>
      <c r="AD100" s="185">
        <f>+[9]월별!EO27-AD21/100</f>
        <v>0</v>
      </c>
      <c r="AE100" s="185">
        <f>+[9]월별!EP27-AE21/100</f>
        <v>0</v>
      </c>
      <c r="AF100" s="185">
        <f>+[9]월별!EQ27-AF21/100</f>
        <v>0</v>
      </c>
      <c r="AG100" s="185">
        <f>+[9]월별!ER27-AG21/100</f>
        <v>0</v>
      </c>
      <c r="AH100" s="185">
        <f>+[9]월별!ES27-AH21/100</f>
        <v>0</v>
      </c>
    </row>
    <row r="101" spans="3:34">
      <c r="C101" s="39" t="s">
        <v>181</v>
      </c>
      <c r="Q101" s="185"/>
      <c r="R101" s="185"/>
      <c r="S101" s="185">
        <f>+[10]AI059!$G$153/1000-SUM($Q$17:S17)</f>
        <v>3.9690999896265566E-2</v>
      </c>
      <c r="T101" s="185"/>
      <c r="U101" s="185"/>
      <c r="V101" s="185">
        <f>+[11]AI059!$G$153/1000-SUM($Q$17:V17)</f>
        <v>4.0533000137656927E-2</v>
      </c>
      <c r="W101" s="185"/>
      <c r="X101" s="185"/>
      <c r="Y101" s="185">
        <f>+[12]AI059!$G$153/1000-SUM($Q$17:Y17)</f>
        <v>4.141100007109344E-2</v>
      </c>
      <c r="Z101" s="185"/>
      <c r="AA101" s="185"/>
      <c r="AB101" s="185">
        <f>+[13]AI059!$G$153/1000-SUM($Q$17:AB17)</f>
        <v>3.9102999493479729E-2</v>
      </c>
      <c r="AC101" s="185"/>
      <c r="AD101" s="185"/>
      <c r="AE101" s="185">
        <f>+[14]AI059!$G$153/1000-SUM($AC$17:AE17)</f>
        <v>2.3910000454634428E-3</v>
      </c>
      <c r="AF101" s="185"/>
      <c r="AG101" s="185"/>
      <c r="AH101" s="185">
        <f>+[15]AI059!$G$153/1000-SUM($AC$17:AH17)</f>
        <v>0.30551199987530708</v>
      </c>
    </row>
    <row r="102" spans="3:34">
      <c r="C102" s="39" t="s">
        <v>182</v>
      </c>
      <c r="Q102" s="289"/>
      <c r="R102" s="289"/>
      <c r="S102" s="289">
        <f>+[3]공시용_PL!$D$27/1000000-S72</f>
        <v>5.3175364882918075E-5</v>
      </c>
      <c r="T102" s="289"/>
      <c r="U102" s="289"/>
      <c r="V102" s="289">
        <f>+[4]공시용_PL!$D$27/1000000-(V72+S72)</f>
        <v>1.9031801639357582E-4</v>
      </c>
      <c r="W102" s="289"/>
      <c r="X102" s="289"/>
      <c r="Y102" s="289">
        <f>+[5]공시용_PL!$D$27/1000000-(Y72+V72+S72)</f>
        <v>1.6500273886776995E-4</v>
      </c>
      <c r="Z102" s="289"/>
      <c r="AA102" s="289"/>
      <c r="AB102" s="289">
        <f>+[6]공시용_PL!$D$27/1000000-(AB72+Y72+V72+S72)</f>
        <v>-6.4558419981040061E-3</v>
      </c>
      <c r="AC102" s="289"/>
      <c r="AD102" s="289"/>
      <c r="AE102" s="289">
        <f>+[7]공시용_PL!$D$27/1000000-SUM(AC72:AE72)</f>
        <v>1.0815856512635946E-6</v>
      </c>
      <c r="AF102" s="289"/>
      <c r="AG102" s="289"/>
      <c r="AH102" s="289">
        <f>+[8]공시용_PL!$D$27/1000000-SUM(AC72:AH72)</f>
        <v>-3.4479307942092419E-7</v>
      </c>
    </row>
    <row r="103" spans="3:34">
      <c r="C103" s="39" t="s">
        <v>183</v>
      </c>
      <c r="Q103" s="289"/>
      <c r="R103" s="289"/>
      <c r="S103" s="289">
        <f>+[3]공시용_PL!$D$9/1000000-S64</f>
        <v>5.3000025218352675E-5</v>
      </c>
      <c r="T103" s="289"/>
      <c r="U103" s="289"/>
      <c r="V103" s="289">
        <f>+[4]공시용_PL!$D$9/1000000-(V64+S64)</f>
        <v>1.9300001440569758E-4</v>
      </c>
      <c r="W103" s="289"/>
      <c r="X103" s="289"/>
      <c r="Y103" s="289">
        <f>+[5]공시용_PL!$D$9/1000000-(Y64+V64+S64)</f>
        <v>1.6800023149698973E-4</v>
      </c>
      <c r="Z103" s="289"/>
      <c r="AA103" s="289"/>
      <c r="AB103" s="289">
        <f>+[6]공시용_PL!$D$9/1000000-(AB64+Y64+V64+S64)</f>
        <v>-8.4580000839196146E-3</v>
      </c>
      <c r="AC103" s="289"/>
      <c r="AD103" s="289"/>
      <c r="AE103" s="289">
        <f>+[7]공시용_PL!$D$9/1000000-SUM(AC64:AE64)</f>
        <v>0</v>
      </c>
      <c r="AF103" s="289"/>
      <c r="AG103" s="289"/>
      <c r="AH103" s="289">
        <f>+[8]공시용_PL!$D$9/1000000-SUM(AC64:AH64)</f>
        <v>-9.4587448984384537E-11</v>
      </c>
    </row>
    <row r="104" spans="3:34">
      <c r="C104" s="39" t="s">
        <v>194</v>
      </c>
      <c r="Q104" s="289"/>
      <c r="R104" s="289"/>
      <c r="S104" s="289">
        <f>+'[2]CSM상각률(당월)'!$F$22-S93</f>
        <v>0</v>
      </c>
      <c r="T104" s="289"/>
      <c r="U104" s="289"/>
      <c r="V104" s="289">
        <f>+'[2]CSM상각률(당월)'!$I$22-V93</f>
        <v>0</v>
      </c>
      <c r="W104" s="289"/>
      <c r="X104" s="289"/>
      <c r="Y104" s="289">
        <f>+'[2]CSM상각률(당월)'!$L$22-Y93</f>
        <v>0</v>
      </c>
      <c r="Z104" s="289"/>
      <c r="AA104" s="289"/>
      <c r="AB104" s="289">
        <f>+'[2]CSM상각률(당월)'!$O$22-AB93</f>
        <v>0</v>
      </c>
      <c r="AC104" s="289">
        <f>+'[2]CSM상각률(당월)'!$V$22-AC93</f>
        <v>0</v>
      </c>
      <c r="AD104" s="289">
        <f>+'[2]CSM상각률(당월)'!$Y$22-AD93</f>
        <v>0</v>
      </c>
      <c r="AE104" s="289">
        <f>+'[2]CSM상각률(당월)'!$AB$22-AE93</f>
        <v>0</v>
      </c>
      <c r="AF104" s="289">
        <f>+'[2]CSM상각률(당월)'!$AE$22-AF93</f>
        <v>0</v>
      </c>
      <c r="AG104" s="289">
        <f>+'[2]CSM상각률(당월)'!$AH$22-AG93</f>
        <v>0</v>
      </c>
      <c r="AH104" s="289">
        <f>+'[2]CSM상각률(당월)'!$AK$22-AH93</f>
        <v>0</v>
      </c>
    </row>
  </sheetData>
  <mergeCells count="9">
    <mergeCell ref="C86:G87"/>
    <mergeCell ref="H86:K86"/>
    <mergeCell ref="L86:O86"/>
    <mergeCell ref="H11:K11"/>
    <mergeCell ref="L11:O11"/>
    <mergeCell ref="C11:G12"/>
    <mergeCell ref="C29:G30"/>
    <mergeCell ref="H29:K29"/>
    <mergeCell ref="L29:O29"/>
  </mergeCells>
  <phoneticPr fontId="2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499984740745262"/>
  </sheetPr>
  <dimension ref="C3:O22"/>
  <sheetViews>
    <sheetView workbookViewId="0">
      <selection activeCell="C6" sqref="C6"/>
    </sheetView>
  </sheetViews>
  <sheetFormatPr defaultRowHeight="16.5"/>
  <cols>
    <col min="1" max="16384" width="9" style="39"/>
  </cols>
  <sheetData>
    <row r="3" spans="3:15">
      <c r="C3" s="39" t="s">
        <v>63</v>
      </c>
      <c r="K3" s="39" t="s">
        <v>79</v>
      </c>
      <c r="O3" s="39" t="s">
        <v>80</v>
      </c>
    </row>
    <row r="4" spans="3:15">
      <c r="C4" s="39" t="s">
        <v>122</v>
      </c>
      <c r="K4" s="39" t="s">
        <v>71</v>
      </c>
      <c r="O4" s="39" t="s">
        <v>81</v>
      </c>
    </row>
    <row r="5" spans="3:15">
      <c r="C5" s="39" t="s">
        <v>64</v>
      </c>
      <c r="O5" s="39" t="s">
        <v>82</v>
      </c>
    </row>
    <row r="6" spans="3:15">
      <c r="C6" s="39" t="s">
        <v>123</v>
      </c>
    </row>
    <row r="7" spans="3:15">
      <c r="C7" s="39" t="s">
        <v>77</v>
      </c>
    </row>
    <row r="8" spans="3:15">
      <c r="C8" s="39" t="s">
        <v>65</v>
      </c>
    </row>
    <row r="9" spans="3:15">
      <c r="C9" s="39" t="s">
        <v>66</v>
      </c>
    </row>
    <row r="10" spans="3:15">
      <c r="C10" s="39" t="s">
        <v>67</v>
      </c>
    </row>
    <row r="11" spans="3:15">
      <c r="C11" s="39" t="s">
        <v>68</v>
      </c>
    </row>
    <row r="12" spans="3:15">
      <c r="C12" s="39" t="s">
        <v>69</v>
      </c>
    </row>
    <row r="13" spans="3:15">
      <c r="C13" s="39" t="s">
        <v>70</v>
      </c>
    </row>
    <row r="14" spans="3:15">
      <c r="C14" s="39" t="s">
        <v>78</v>
      </c>
    </row>
    <row r="15" spans="3:15">
      <c r="C15" s="39" t="s">
        <v>102</v>
      </c>
    </row>
    <row r="16" spans="3:15">
      <c r="C16" s="39" t="s">
        <v>72</v>
      </c>
    </row>
    <row r="17" spans="3:3">
      <c r="C17" s="39" t="s">
        <v>73</v>
      </c>
    </row>
    <row r="18" spans="3:3">
      <c r="C18" s="39" t="s">
        <v>74</v>
      </c>
    </row>
    <row r="19" spans="3:3">
      <c r="C19" s="39" t="s">
        <v>75</v>
      </c>
    </row>
    <row r="20" spans="3:3">
      <c r="C20" s="39" t="s">
        <v>76</v>
      </c>
    </row>
    <row r="21" spans="3:3">
      <c r="C21" s="39" t="s">
        <v>105</v>
      </c>
    </row>
    <row r="22" spans="3:3">
      <c r="C22" s="39" t="s">
        <v>106</v>
      </c>
    </row>
  </sheetData>
  <phoneticPr fontId="2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499984740745262"/>
  </sheetPr>
  <dimension ref="B1:P550"/>
  <sheetViews>
    <sheetView workbookViewId="0">
      <selection activeCell="C5" sqref="C1:C1048576"/>
    </sheetView>
  </sheetViews>
  <sheetFormatPr defaultRowHeight="16.5"/>
  <cols>
    <col min="7" max="7" width="16.75" bestFit="1" customWidth="1"/>
    <col min="9" max="9" width="9" style="119"/>
    <col min="10" max="10" width="16.75" style="117" bestFit="1" customWidth="1"/>
  </cols>
  <sheetData>
    <row r="1" spans="2:16">
      <c r="B1" t="s">
        <v>83</v>
      </c>
      <c r="C1" t="s">
        <v>84</v>
      </c>
      <c r="D1" t="s">
        <v>85</v>
      </c>
      <c r="E1" t="s">
        <v>86</v>
      </c>
      <c r="F1" t="s">
        <v>117</v>
      </c>
      <c r="G1" t="s">
        <v>87</v>
      </c>
      <c r="J1" s="117" t="s">
        <v>120</v>
      </c>
    </row>
    <row r="2" spans="2:16">
      <c r="B2">
        <v>202201</v>
      </c>
      <c r="C2" t="s">
        <v>109</v>
      </c>
      <c r="D2" t="s">
        <v>89</v>
      </c>
      <c r="E2">
        <v>0</v>
      </c>
      <c r="F2" t="s">
        <v>118</v>
      </c>
      <c r="G2" s="116">
        <v>150376</v>
      </c>
      <c r="I2" s="119" t="str">
        <f>+VLOOKUP($E2,$N$2:$P$7,3,0)</f>
        <v>일시납</v>
      </c>
      <c r="J2" s="118">
        <f>+IF(E2=0,0,G2/I2)</f>
        <v>0</v>
      </c>
      <c r="N2">
        <v>0</v>
      </c>
      <c r="O2" t="s">
        <v>95</v>
      </c>
      <c r="P2" t="s">
        <v>104</v>
      </c>
    </row>
    <row r="3" spans="2:16">
      <c r="B3">
        <v>202201</v>
      </c>
      <c r="C3" t="s">
        <v>109</v>
      </c>
      <c r="D3" t="s">
        <v>89</v>
      </c>
      <c r="E3">
        <v>10</v>
      </c>
      <c r="F3" t="s">
        <v>119</v>
      </c>
      <c r="G3" s="116">
        <v>114865900014</v>
      </c>
      <c r="I3" s="119">
        <f>+VLOOKUP($E3,$N$2:$P$7,3,0)</f>
        <v>1</v>
      </c>
      <c r="J3" s="118">
        <f t="shared" ref="J3:J66" si="0">+IF(E3=0,0,G3/I3)</f>
        <v>114865900014</v>
      </c>
      <c r="N3">
        <v>10</v>
      </c>
      <c r="O3" t="s">
        <v>94</v>
      </c>
      <c r="P3">
        <v>1</v>
      </c>
    </row>
    <row r="4" spans="2:16">
      <c r="B4">
        <v>202201</v>
      </c>
      <c r="C4" t="s">
        <v>109</v>
      </c>
      <c r="D4" t="s">
        <v>89</v>
      </c>
      <c r="E4">
        <v>10</v>
      </c>
      <c r="F4" t="s">
        <v>118</v>
      </c>
      <c r="G4" s="116">
        <v>954523885</v>
      </c>
      <c r="I4" s="119">
        <f t="shared" ref="I4:I67" si="1">+VLOOKUP($E4,$N$2:$P$7,3,0)</f>
        <v>1</v>
      </c>
      <c r="J4" s="118">
        <f t="shared" si="0"/>
        <v>954523885</v>
      </c>
      <c r="N4">
        <v>20</v>
      </c>
      <c r="O4" t="s">
        <v>121</v>
      </c>
      <c r="P4">
        <v>2</v>
      </c>
    </row>
    <row r="5" spans="2:16">
      <c r="B5">
        <v>202201</v>
      </c>
      <c r="C5" t="s">
        <v>109</v>
      </c>
      <c r="D5" t="s">
        <v>89</v>
      </c>
      <c r="E5">
        <v>20</v>
      </c>
      <c r="F5" t="s">
        <v>119</v>
      </c>
      <c r="G5" s="116">
        <v>102980</v>
      </c>
      <c r="I5" s="119">
        <f t="shared" si="1"/>
        <v>2</v>
      </c>
      <c r="J5" s="118">
        <f t="shared" si="0"/>
        <v>51490</v>
      </c>
      <c r="N5">
        <v>30</v>
      </c>
      <c r="O5" t="s">
        <v>96</v>
      </c>
      <c r="P5">
        <v>3</v>
      </c>
    </row>
    <row r="6" spans="2:16">
      <c r="B6">
        <v>202201</v>
      </c>
      <c r="C6" t="s">
        <v>109</v>
      </c>
      <c r="D6" t="s">
        <v>89</v>
      </c>
      <c r="E6">
        <v>30</v>
      </c>
      <c r="F6" t="s">
        <v>119</v>
      </c>
      <c r="G6" s="116">
        <v>1206160</v>
      </c>
      <c r="I6" s="119">
        <f t="shared" si="1"/>
        <v>3</v>
      </c>
      <c r="J6" s="118">
        <f t="shared" si="0"/>
        <v>402053.33333333331</v>
      </c>
      <c r="N6">
        <v>60</v>
      </c>
      <c r="O6" t="s">
        <v>97</v>
      </c>
      <c r="P6">
        <v>6</v>
      </c>
    </row>
    <row r="7" spans="2:16">
      <c r="B7">
        <v>202201</v>
      </c>
      <c r="C7" t="s">
        <v>109</v>
      </c>
      <c r="D7" t="s">
        <v>89</v>
      </c>
      <c r="E7">
        <v>60</v>
      </c>
      <c r="F7" t="s">
        <v>119</v>
      </c>
      <c r="G7" s="116">
        <v>479939</v>
      </c>
      <c r="I7" s="119">
        <f t="shared" si="1"/>
        <v>6</v>
      </c>
      <c r="J7" s="118">
        <f t="shared" si="0"/>
        <v>79989.833333333328</v>
      </c>
      <c r="N7">
        <v>90</v>
      </c>
      <c r="O7" t="s">
        <v>103</v>
      </c>
      <c r="P7">
        <v>12</v>
      </c>
    </row>
    <row r="8" spans="2:16">
      <c r="B8">
        <v>202201</v>
      </c>
      <c r="C8" t="s">
        <v>109</v>
      </c>
      <c r="D8" t="s">
        <v>89</v>
      </c>
      <c r="E8">
        <v>90</v>
      </c>
      <c r="F8" t="s">
        <v>119</v>
      </c>
      <c r="G8" s="116">
        <v>16568298</v>
      </c>
      <c r="I8" s="119">
        <f t="shared" si="1"/>
        <v>12</v>
      </c>
      <c r="J8" s="118">
        <f t="shared" si="0"/>
        <v>1380691.5</v>
      </c>
    </row>
    <row r="9" spans="2:16">
      <c r="B9">
        <v>202201</v>
      </c>
      <c r="C9" t="s">
        <v>109</v>
      </c>
      <c r="D9" t="s">
        <v>15</v>
      </c>
      <c r="E9">
        <v>10</v>
      </c>
      <c r="F9" t="s">
        <v>119</v>
      </c>
      <c r="G9" s="116">
        <v>9840920028</v>
      </c>
      <c r="I9" s="119">
        <f t="shared" si="1"/>
        <v>1</v>
      </c>
      <c r="J9" s="118">
        <f t="shared" si="0"/>
        <v>9840920028</v>
      </c>
    </row>
    <row r="10" spans="2:16">
      <c r="B10">
        <v>202201</v>
      </c>
      <c r="C10" t="s">
        <v>109</v>
      </c>
      <c r="D10" t="s">
        <v>15</v>
      </c>
      <c r="E10">
        <v>10</v>
      </c>
      <c r="F10" t="s">
        <v>118</v>
      </c>
      <c r="G10" s="116">
        <v>535589107</v>
      </c>
      <c r="I10" s="119">
        <f t="shared" si="1"/>
        <v>1</v>
      </c>
      <c r="J10" s="118">
        <f t="shared" si="0"/>
        <v>535589107</v>
      </c>
    </row>
    <row r="11" spans="2:16">
      <c r="B11">
        <v>202201</v>
      </c>
      <c r="C11" t="s">
        <v>109</v>
      </c>
      <c r="D11" t="s">
        <v>15</v>
      </c>
      <c r="E11">
        <v>30</v>
      </c>
      <c r="F11" t="s">
        <v>119</v>
      </c>
      <c r="G11" s="116">
        <v>1837610</v>
      </c>
      <c r="I11" s="119">
        <f t="shared" si="1"/>
        <v>3</v>
      </c>
      <c r="J11" s="118">
        <f t="shared" si="0"/>
        <v>612536.66666666663</v>
      </c>
    </row>
    <row r="12" spans="2:16">
      <c r="B12">
        <v>202201</v>
      </c>
      <c r="C12" t="s">
        <v>109</v>
      </c>
      <c r="D12" t="s">
        <v>15</v>
      </c>
      <c r="E12">
        <v>90</v>
      </c>
      <c r="F12" t="s">
        <v>119</v>
      </c>
      <c r="G12" s="116">
        <v>1799753</v>
      </c>
      <c r="I12" s="119">
        <f t="shared" si="1"/>
        <v>12</v>
      </c>
      <c r="J12" s="118">
        <f t="shared" si="0"/>
        <v>149979.41666666666</v>
      </c>
    </row>
    <row r="13" spans="2:16">
      <c r="B13">
        <v>202201</v>
      </c>
      <c r="C13" t="s">
        <v>109</v>
      </c>
      <c r="D13" t="s">
        <v>15</v>
      </c>
      <c r="E13">
        <v>90</v>
      </c>
      <c r="F13" t="s">
        <v>118</v>
      </c>
      <c r="G13" s="116">
        <v>938688</v>
      </c>
      <c r="I13" s="119">
        <f t="shared" si="1"/>
        <v>12</v>
      </c>
      <c r="J13" s="118">
        <f t="shared" si="0"/>
        <v>78224</v>
      </c>
    </row>
    <row r="14" spans="2:16">
      <c r="B14">
        <v>202201</v>
      </c>
      <c r="C14" t="s">
        <v>109</v>
      </c>
      <c r="D14" t="s">
        <v>90</v>
      </c>
      <c r="E14">
        <v>10</v>
      </c>
      <c r="F14" t="s">
        <v>119</v>
      </c>
      <c r="G14" s="116">
        <v>20797714458</v>
      </c>
      <c r="I14" s="119">
        <f t="shared" si="1"/>
        <v>1</v>
      </c>
      <c r="J14" s="118">
        <f t="shared" si="0"/>
        <v>20797714458</v>
      </c>
    </row>
    <row r="15" spans="2:16">
      <c r="B15">
        <v>202201</v>
      </c>
      <c r="C15" t="s">
        <v>109</v>
      </c>
      <c r="D15" t="s">
        <v>90</v>
      </c>
      <c r="E15">
        <v>10</v>
      </c>
      <c r="F15" t="s">
        <v>118</v>
      </c>
      <c r="G15" s="116">
        <v>25536942</v>
      </c>
      <c r="I15" s="119">
        <f t="shared" si="1"/>
        <v>1</v>
      </c>
      <c r="J15" s="118">
        <f t="shared" si="0"/>
        <v>25536942</v>
      </c>
    </row>
    <row r="16" spans="2:16">
      <c r="B16">
        <v>202201</v>
      </c>
      <c r="C16" t="s">
        <v>109</v>
      </c>
      <c r="D16" t="s">
        <v>90</v>
      </c>
      <c r="E16">
        <v>30</v>
      </c>
      <c r="F16" t="s">
        <v>119</v>
      </c>
      <c r="G16" s="116">
        <v>240651</v>
      </c>
      <c r="I16" s="119">
        <f t="shared" si="1"/>
        <v>3</v>
      </c>
      <c r="J16" s="118">
        <f t="shared" si="0"/>
        <v>80217</v>
      </c>
    </row>
    <row r="17" spans="2:10">
      <c r="B17">
        <v>202201</v>
      </c>
      <c r="C17" t="s">
        <v>91</v>
      </c>
      <c r="D17" t="s">
        <v>91</v>
      </c>
      <c r="E17">
        <v>10</v>
      </c>
      <c r="F17" t="s">
        <v>119</v>
      </c>
      <c r="G17" s="116">
        <v>2701386704</v>
      </c>
      <c r="I17" s="119">
        <f t="shared" si="1"/>
        <v>1</v>
      </c>
      <c r="J17" s="118">
        <f t="shared" si="0"/>
        <v>2701386704</v>
      </c>
    </row>
    <row r="18" spans="2:10">
      <c r="B18">
        <v>202201</v>
      </c>
      <c r="C18" t="s">
        <v>91</v>
      </c>
      <c r="D18" t="s">
        <v>91</v>
      </c>
      <c r="E18">
        <v>10</v>
      </c>
      <c r="F18" t="s">
        <v>118</v>
      </c>
      <c r="G18" s="116">
        <v>21749584</v>
      </c>
      <c r="I18" s="119">
        <f t="shared" si="1"/>
        <v>1</v>
      </c>
      <c r="J18" s="118">
        <f t="shared" si="0"/>
        <v>21749584</v>
      </c>
    </row>
    <row r="19" spans="2:10">
      <c r="B19">
        <v>202201</v>
      </c>
      <c r="C19" t="s">
        <v>91</v>
      </c>
      <c r="D19" t="s">
        <v>91</v>
      </c>
      <c r="E19">
        <v>30</v>
      </c>
      <c r="F19" t="s">
        <v>119</v>
      </c>
      <c r="G19" s="116">
        <v>880000</v>
      </c>
      <c r="I19" s="119">
        <f t="shared" si="1"/>
        <v>3</v>
      </c>
      <c r="J19" s="118">
        <f t="shared" si="0"/>
        <v>293333.33333333331</v>
      </c>
    </row>
    <row r="20" spans="2:10">
      <c r="B20">
        <v>202201</v>
      </c>
      <c r="C20" t="s">
        <v>91</v>
      </c>
      <c r="D20" t="s">
        <v>91</v>
      </c>
      <c r="E20">
        <v>90</v>
      </c>
      <c r="F20" t="s">
        <v>119</v>
      </c>
      <c r="G20" s="116">
        <v>2760000</v>
      </c>
      <c r="I20" s="119">
        <f t="shared" si="1"/>
        <v>12</v>
      </c>
      <c r="J20" s="118">
        <f t="shared" si="0"/>
        <v>230000</v>
      </c>
    </row>
    <row r="21" spans="2:10">
      <c r="B21">
        <v>202201</v>
      </c>
      <c r="C21" t="s">
        <v>91</v>
      </c>
      <c r="D21" t="s">
        <v>91</v>
      </c>
      <c r="E21">
        <v>90</v>
      </c>
      <c r="F21" t="s">
        <v>118</v>
      </c>
      <c r="G21" s="116">
        <v>425420</v>
      </c>
      <c r="I21" s="119">
        <f t="shared" si="1"/>
        <v>12</v>
      </c>
      <c r="J21" s="118">
        <f t="shared" si="0"/>
        <v>35451.666666666664</v>
      </c>
    </row>
    <row r="22" spans="2:10">
      <c r="B22">
        <v>202201</v>
      </c>
      <c r="C22" t="s">
        <v>114</v>
      </c>
      <c r="D22" t="s">
        <v>93</v>
      </c>
      <c r="E22">
        <v>10</v>
      </c>
      <c r="F22" t="s">
        <v>119</v>
      </c>
      <c r="G22" s="116">
        <v>3567597761</v>
      </c>
      <c r="I22" s="119">
        <f t="shared" si="1"/>
        <v>1</v>
      </c>
      <c r="J22" s="118">
        <f t="shared" si="0"/>
        <v>3567597761</v>
      </c>
    </row>
    <row r="23" spans="2:10">
      <c r="B23">
        <v>202201</v>
      </c>
      <c r="C23" t="s">
        <v>114</v>
      </c>
      <c r="D23" t="s">
        <v>93</v>
      </c>
      <c r="E23">
        <v>10</v>
      </c>
      <c r="F23" t="s">
        <v>118</v>
      </c>
      <c r="G23" s="116">
        <v>37830800</v>
      </c>
      <c r="I23" s="119">
        <f t="shared" si="1"/>
        <v>1</v>
      </c>
      <c r="J23" s="118">
        <f t="shared" si="0"/>
        <v>37830800</v>
      </c>
    </row>
    <row r="24" spans="2:10">
      <c r="B24">
        <v>202201</v>
      </c>
      <c r="C24" t="s">
        <v>114</v>
      </c>
      <c r="D24" t="s">
        <v>93</v>
      </c>
      <c r="E24">
        <v>30</v>
      </c>
      <c r="F24" t="s">
        <v>119</v>
      </c>
      <c r="G24" s="116">
        <v>900000</v>
      </c>
      <c r="I24" s="119">
        <f t="shared" si="1"/>
        <v>3</v>
      </c>
      <c r="J24" s="118">
        <f t="shared" si="0"/>
        <v>300000</v>
      </c>
    </row>
    <row r="25" spans="2:10">
      <c r="B25">
        <v>202201</v>
      </c>
      <c r="C25" t="s">
        <v>114</v>
      </c>
      <c r="D25" t="s">
        <v>93</v>
      </c>
      <c r="E25">
        <v>90</v>
      </c>
      <c r="F25" t="s">
        <v>119</v>
      </c>
      <c r="G25" s="116">
        <v>4800000</v>
      </c>
      <c r="I25" s="119">
        <f t="shared" si="1"/>
        <v>12</v>
      </c>
      <c r="J25" s="118">
        <f t="shared" si="0"/>
        <v>400000</v>
      </c>
    </row>
    <row r="26" spans="2:10">
      <c r="B26">
        <v>202201</v>
      </c>
      <c r="C26" t="s">
        <v>114</v>
      </c>
      <c r="D26" t="s">
        <v>92</v>
      </c>
      <c r="E26">
        <v>0</v>
      </c>
      <c r="F26" t="s">
        <v>119</v>
      </c>
      <c r="G26" s="116">
        <v>0</v>
      </c>
      <c r="I26" s="119" t="str">
        <f t="shared" si="1"/>
        <v>일시납</v>
      </c>
      <c r="J26" s="118">
        <f t="shared" si="0"/>
        <v>0</v>
      </c>
    </row>
    <row r="27" spans="2:10">
      <c r="B27">
        <v>202201</v>
      </c>
      <c r="C27" t="s">
        <v>114</v>
      </c>
      <c r="D27" t="s">
        <v>92</v>
      </c>
      <c r="E27">
        <v>0</v>
      </c>
      <c r="F27" t="s">
        <v>118</v>
      </c>
      <c r="G27" s="116">
        <v>0</v>
      </c>
      <c r="I27" s="119" t="str">
        <f t="shared" si="1"/>
        <v>일시납</v>
      </c>
      <c r="J27" s="118">
        <f t="shared" si="0"/>
        <v>0</v>
      </c>
    </row>
    <row r="28" spans="2:10">
      <c r="B28">
        <v>202201</v>
      </c>
      <c r="C28" t="s">
        <v>114</v>
      </c>
      <c r="D28" t="s">
        <v>92</v>
      </c>
      <c r="E28">
        <v>10</v>
      </c>
      <c r="F28" t="s">
        <v>119</v>
      </c>
      <c r="G28" s="116">
        <v>8297940998</v>
      </c>
      <c r="I28" s="119">
        <f t="shared" si="1"/>
        <v>1</v>
      </c>
      <c r="J28" s="118">
        <f t="shared" si="0"/>
        <v>8297940998</v>
      </c>
    </row>
    <row r="29" spans="2:10">
      <c r="B29">
        <v>202201</v>
      </c>
      <c r="C29" t="s">
        <v>114</v>
      </c>
      <c r="D29" t="s">
        <v>92</v>
      </c>
      <c r="E29">
        <v>10</v>
      </c>
      <c r="F29" t="s">
        <v>118</v>
      </c>
      <c r="G29" s="116">
        <v>-120000</v>
      </c>
      <c r="I29" s="119">
        <f t="shared" si="1"/>
        <v>1</v>
      </c>
      <c r="J29" s="118">
        <f t="shared" si="0"/>
        <v>-120000</v>
      </c>
    </row>
    <row r="30" spans="2:10">
      <c r="B30">
        <v>202201</v>
      </c>
      <c r="C30" t="s">
        <v>114</v>
      </c>
      <c r="D30" t="s">
        <v>92</v>
      </c>
      <c r="E30">
        <v>90</v>
      </c>
      <c r="F30" t="s">
        <v>119</v>
      </c>
      <c r="G30" s="116">
        <v>0</v>
      </c>
      <c r="I30" s="119">
        <f t="shared" si="1"/>
        <v>12</v>
      </c>
      <c r="J30" s="118">
        <f t="shared" si="0"/>
        <v>0</v>
      </c>
    </row>
    <row r="31" spans="2:10">
      <c r="B31">
        <v>202202</v>
      </c>
      <c r="C31" t="s">
        <v>109</v>
      </c>
      <c r="D31" t="s">
        <v>89</v>
      </c>
      <c r="E31">
        <v>0</v>
      </c>
      <c r="F31" t="s">
        <v>118</v>
      </c>
      <c r="G31" s="116">
        <v>513303</v>
      </c>
      <c r="I31" s="119" t="str">
        <f t="shared" si="1"/>
        <v>일시납</v>
      </c>
      <c r="J31" s="118">
        <f t="shared" si="0"/>
        <v>0</v>
      </c>
    </row>
    <row r="32" spans="2:10">
      <c r="B32">
        <v>202202</v>
      </c>
      <c r="C32" t="s">
        <v>109</v>
      </c>
      <c r="D32" t="s">
        <v>89</v>
      </c>
      <c r="E32">
        <v>10</v>
      </c>
      <c r="F32" t="s">
        <v>119</v>
      </c>
      <c r="G32" s="116">
        <v>114312208192</v>
      </c>
      <c r="I32" s="119">
        <f t="shared" si="1"/>
        <v>1</v>
      </c>
      <c r="J32" s="118">
        <f t="shared" si="0"/>
        <v>114312208192</v>
      </c>
    </row>
    <row r="33" spans="2:10">
      <c r="B33">
        <v>202202</v>
      </c>
      <c r="C33" t="s">
        <v>109</v>
      </c>
      <c r="D33" t="s">
        <v>89</v>
      </c>
      <c r="E33">
        <v>10</v>
      </c>
      <c r="F33" t="s">
        <v>118</v>
      </c>
      <c r="G33" s="116">
        <v>954085283</v>
      </c>
      <c r="I33" s="119">
        <f t="shared" si="1"/>
        <v>1</v>
      </c>
      <c r="J33" s="118">
        <f t="shared" si="0"/>
        <v>954085283</v>
      </c>
    </row>
    <row r="34" spans="2:10">
      <c r="B34">
        <v>202202</v>
      </c>
      <c r="C34" t="s">
        <v>109</v>
      </c>
      <c r="D34" t="s">
        <v>89</v>
      </c>
      <c r="E34">
        <v>30</v>
      </c>
      <c r="F34" t="s">
        <v>119</v>
      </c>
      <c r="G34" s="116">
        <v>1462074</v>
      </c>
      <c r="I34" s="119">
        <f t="shared" si="1"/>
        <v>3</v>
      </c>
      <c r="J34" s="118">
        <f t="shared" si="0"/>
        <v>487358</v>
      </c>
    </row>
    <row r="35" spans="2:10">
      <c r="B35">
        <v>202202</v>
      </c>
      <c r="C35" t="s">
        <v>109</v>
      </c>
      <c r="D35" t="s">
        <v>89</v>
      </c>
      <c r="E35">
        <v>60</v>
      </c>
      <c r="F35" t="s">
        <v>119</v>
      </c>
      <c r="G35" s="116">
        <v>768586</v>
      </c>
      <c r="I35" s="119">
        <f t="shared" si="1"/>
        <v>6</v>
      </c>
      <c r="J35" s="118">
        <f t="shared" si="0"/>
        <v>128097.66666666667</v>
      </c>
    </row>
    <row r="36" spans="2:10">
      <c r="B36">
        <v>202202</v>
      </c>
      <c r="C36" t="s">
        <v>109</v>
      </c>
      <c r="D36" t="s">
        <v>89</v>
      </c>
      <c r="E36">
        <v>90</v>
      </c>
      <c r="F36" t="s">
        <v>119</v>
      </c>
      <c r="G36" s="116">
        <v>10984492</v>
      </c>
      <c r="I36" s="119">
        <f t="shared" si="1"/>
        <v>12</v>
      </c>
      <c r="J36" s="118">
        <f t="shared" si="0"/>
        <v>915374.33333333337</v>
      </c>
    </row>
    <row r="37" spans="2:10">
      <c r="B37">
        <v>202202</v>
      </c>
      <c r="C37" t="s">
        <v>109</v>
      </c>
      <c r="D37" t="s">
        <v>89</v>
      </c>
      <c r="E37">
        <v>90</v>
      </c>
      <c r="F37" t="s">
        <v>118</v>
      </c>
      <c r="G37" s="116">
        <v>3181976</v>
      </c>
      <c r="I37" s="119">
        <f t="shared" si="1"/>
        <v>12</v>
      </c>
      <c r="J37" s="118">
        <f t="shared" si="0"/>
        <v>265164.66666666669</v>
      </c>
    </row>
    <row r="38" spans="2:10">
      <c r="B38">
        <v>202202</v>
      </c>
      <c r="C38" t="s">
        <v>109</v>
      </c>
      <c r="D38" t="s">
        <v>15</v>
      </c>
      <c r="E38">
        <v>10</v>
      </c>
      <c r="F38" t="s">
        <v>119</v>
      </c>
      <c r="G38" s="116">
        <v>10174518940</v>
      </c>
      <c r="I38" s="119">
        <f t="shared" si="1"/>
        <v>1</v>
      </c>
      <c r="J38" s="118">
        <f t="shared" si="0"/>
        <v>10174518940</v>
      </c>
    </row>
    <row r="39" spans="2:10">
      <c r="B39">
        <v>202202</v>
      </c>
      <c r="C39" t="s">
        <v>109</v>
      </c>
      <c r="D39" t="s">
        <v>15</v>
      </c>
      <c r="E39">
        <v>10</v>
      </c>
      <c r="F39" t="s">
        <v>118</v>
      </c>
      <c r="G39" s="116">
        <v>525919987</v>
      </c>
      <c r="I39" s="119">
        <f t="shared" si="1"/>
        <v>1</v>
      </c>
      <c r="J39" s="118">
        <f t="shared" si="0"/>
        <v>525919987</v>
      </c>
    </row>
    <row r="40" spans="2:10">
      <c r="B40">
        <v>202202</v>
      </c>
      <c r="C40" t="s">
        <v>109</v>
      </c>
      <c r="D40" t="s">
        <v>15</v>
      </c>
      <c r="E40">
        <v>60</v>
      </c>
      <c r="F40" t="s">
        <v>119</v>
      </c>
      <c r="G40" s="116">
        <v>119969</v>
      </c>
      <c r="I40" s="119">
        <f t="shared" si="1"/>
        <v>6</v>
      </c>
      <c r="J40" s="118">
        <f t="shared" si="0"/>
        <v>19994.833333333332</v>
      </c>
    </row>
    <row r="41" spans="2:10">
      <c r="B41">
        <v>202202</v>
      </c>
      <c r="C41" t="s">
        <v>109</v>
      </c>
      <c r="D41" t="s">
        <v>15</v>
      </c>
      <c r="E41">
        <v>90</v>
      </c>
      <c r="F41" t="s">
        <v>119</v>
      </c>
      <c r="G41" s="116">
        <v>417916</v>
      </c>
      <c r="I41" s="119">
        <f t="shared" si="1"/>
        <v>12</v>
      </c>
      <c r="J41" s="118">
        <f t="shared" si="0"/>
        <v>34826.333333333336</v>
      </c>
    </row>
    <row r="42" spans="2:10">
      <c r="B42">
        <v>202202</v>
      </c>
      <c r="C42" t="s">
        <v>109</v>
      </c>
      <c r="D42" t="s">
        <v>15</v>
      </c>
      <c r="E42">
        <v>90</v>
      </c>
      <c r="F42" t="s">
        <v>118</v>
      </c>
      <c r="G42" s="116">
        <v>758469</v>
      </c>
      <c r="I42" s="119">
        <f t="shared" si="1"/>
        <v>12</v>
      </c>
      <c r="J42" s="118">
        <f t="shared" si="0"/>
        <v>63205.75</v>
      </c>
    </row>
    <row r="43" spans="2:10">
      <c r="B43">
        <v>202202</v>
      </c>
      <c r="C43" t="s">
        <v>109</v>
      </c>
      <c r="D43" t="s">
        <v>90</v>
      </c>
      <c r="E43">
        <v>10</v>
      </c>
      <c r="F43" t="s">
        <v>119</v>
      </c>
      <c r="G43" s="116">
        <v>20593603251</v>
      </c>
      <c r="I43" s="119">
        <f t="shared" si="1"/>
        <v>1</v>
      </c>
      <c r="J43" s="118">
        <f t="shared" si="0"/>
        <v>20593603251</v>
      </c>
    </row>
    <row r="44" spans="2:10">
      <c r="B44">
        <v>202202</v>
      </c>
      <c r="C44" t="s">
        <v>109</v>
      </c>
      <c r="D44" t="s">
        <v>90</v>
      </c>
      <c r="E44">
        <v>10</v>
      </c>
      <c r="F44" t="s">
        <v>118</v>
      </c>
      <c r="G44" s="116">
        <v>21536803</v>
      </c>
      <c r="I44" s="119">
        <f t="shared" si="1"/>
        <v>1</v>
      </c>
      <c r="J44" s="118">
        <f t="shared" si="0"/>
        <v>21536803</v>
      </c>
    </row>
    <row r="45" spans="2:10">
      <c r="B45">
        <v>202202</v>
      </c>
      <c r="C45" t="s">
        <v>109</v>
      </c>
      <c r="D45" t="s">
        <v>90</v>
      </c>
      <c r="E45">
        <v>30</v>
      </c>
      <c r="F45" t="s">
        <v>119</v>
      </c>
      <c r="G45" s="116">
        <v>300000</v>
      </c>
      <c r="I45" s="119">
        <f t="shared" si="1"/>
        <v>3</v>
      </c>
      <c r="J45" s="118">
        <f t="shared" si="0"/>
        <v>100000</v>
      </c>
    </row>
    <row r="46" spans="2:10">
      <c r="B46">
        <v>202202</v>
      </c>
      <c r="C46" t="s">
        <v>109</v>
      </c>
      <c r="D46" t="s">
        <v>90</v>
      </c>
      <c r="E46">
        <v>90</v>
      </c>
      <c r="F46" t="s">
        <v>119</v>
      </c>
      <c r="G46" s="116">
        <v>3385638</v>
      </c>
      <c r="I46" s="119">
        <f t="shared" si="1"/>
        <v>12</v>
      </c>
      <c r="J46" s="118">
        <f t="shared" si="0"/>
        <v>282136.5</v>
      </c>
    </row>
    <row r="47" spans="2:10">
      <c r="B47">
        <v>202202</v>
      </c>
      <c r="C47" t="s">
        <v>91</v>
      </c>
      <c r="D47" t="s">
        <v>91</v>
      </c>
      <c r="E47">
        <v>10</v>
      </c>
      <c r="F47" t="s">
        <v>119</v>
      </c>
      <c r="G47" s="116">
        <v>2666439197</v>
      </c>
      <c r="I47" s="119">
        <f t="shared" si="1"/>
        <v>1</v>
      </c>
      <c r="J47" s="118">
        <f t="shared" si="0"/>
        <v>2666439197</v>
      </c>
    </row>
    <row r="48" spans="2:10">
      <c r="B48">
        <v>202202</v>
      </c>
      <c r="C48" t="s">
        <v>91</v>
      </c>
      <c r="D48" t="s">
        <v>91</v>
      </c>
      <c r="E48">
        <v>10</v>
      </c>
      <c r="F48" t="s">
        <v>118</v>
      </c>
      <c r="G48" s="116">
        <v>19736097</v>
      </c>
      <c r="I48" s="119">
        <f t="shared" si="1"/>
        <v>1</v>
      </c>
      <c r="J48" s="118">
        <f t="shared" si="0"/>
        <v>19736097</v>
      </c>
    </row>
    <row r="49" spans="2:10">
      <c r="B49">
        <v>202202</v>
      </c>
      <c r="C49" t="s">
        <v>91</v>
      </c>
      <c r="D49" t="s">
        <v>91</v>
      </c>
      <c r="E49">
        <v>30</v>
      </c>
      <c r="F49" t="s">
        <v>119</v>
      </c>
      <c r="G49" s="116">
        <v>2000000</v>
      </c>
      <c r="I49" s="119">
        <f t="shared" si="1"/>
        <v>3</v>
      </c>
      <c r="J49" s="118">
        <f t="shared" si="0"/>
        <v>666666.66666666663</v>
      </c>
    </row>
    <row r="50" spans="2:10">
      <c r="B50">
        <v>202202</v>
      </c>
      <c r="C50" t="s">
        <v>91</v>
      </c>
      <c r="D50" t="s">
        <v>91</v>
      </c>
      <c r="E50">
        <v>30</v>
      </c>
      <c r="F50" t="s">
        <v>118</v>
      </c>
      <c r="G50" s="116">
        <v>0</v>
      </c>
      <c r="I50" s="119">
        <f t="shared" si="1"/>
        <v>3</v>
      </c>
      <c r="J50" s="118">
        <f t="shared" si="0"/>
        <v>0</v>
      </c>
    </row>
    <row r="51" spans="2:10">
      <c r="B51">
        <v>202202</v>
      </c>
      <c r="C51" t="s">
        <v>91</v>
      </c>
      <c r="D51" t="s">
        <v>91</v>
      </c>
      <c r="E51">
        <v>90</v>
      </c>
      <c r="F51" t="s">
        <v>119</v>
      </c>
      <c r="G51" s="116">
        <v>6200000</v>
      </c>
      <c r="I51" s="119">
        <f t="shared" si="1"/>
        <v>12</v>
      </c>
      <c r="J51" s="118">
        <f t="shared" si="0"/>
        <v>516666.66666666669</v>
      </c>
    </row>
    <row r="52" spans="2:10">
      <c r="B52">
        <v>202202</v>
      </c>
      <c r="C52" t="s">
        <v>91</v>
      </c>
      <c r="D52" t="s">
        <v>91</v>
      </c>
      <c r="E52">
        <v>90</v>
      </c>
      <c r="F52" t="s">
        <v>118</v>
      </c>
      <c r="G52" s="116">
        <v>360000</v>
      </c>
      <c r="I52" s="119">
        <f t="shared" si="1"/>
        <v>12</v>
      </c>
      <c r="J52" s="118">
        <f t="shared" si="0"/>
        <v>30000</v>
      </c>
    </row>
    <row r="53" spans="2:10">
      <c r="B53">
        <v>202202</v>
      </c>
      <c r="C53" t="s">
        <v>114</v>
      </c>
      <c r="D53" t="s">
        <v>93</v>
      </c>
      <c r="E53">
        <v>10</v>
      </c>
      <c r="F53" t="s">
        <v>119</v>
      </c>
      <c r="G53" s="116">
        <v>3019630929</v>
      </c>
      <c r="I53" s="119">
        <f t="shared" si="1"/>
        <v>1</v>
      </c>
      <c r="J53" s="118">
        <f t="shared" si="0"/>
        <v>3019630929</v>
      </c>
    </row>
    <row r="54" spans="2:10">
      <c r="B54">
        <v>202202</v>
      </c>
      <c r="C54" t="s">
        <v>114</v>
      </c>
      <c r="D54" t="s">
        <v>93</v>
      </c>
      <c r="E54">
        <v>10</v>
      </c>
      <c r="F54" t="s">
        <v>118</v>
      </c>
      <c r="G54" s="116">
        <v>9465400</v>
      </c>
      <c r="I54" s="119">
        <f t="shared" si="1"/>
        <v>1</v>
      </c>
      <c r="J54" s="118">
        <f t="shared" si="0"/>
        <v>9465400</v>
      </c>
    </row>
    <row r="55" spans="2:10">
      <c r="B55">
        <v>202202</v>
      </c>
      <c r="C55" t="s">
        <v>114</v>
      </c>
      <c r="D55" t="s">
        <v>93</v>
      </c>
      <c r="E55">
        <v>90</v>
      </c>
      <c r="F55" t="s">
        <v>119</v>
      </c>
      <c r="G55" s="116">
        <v>4000000</v>
      </c>
      <c r="I55" s="119">
        <f t="shared" si="1"/>
        <v>12</v>
      </c>
      <c r="J55" s="118">
        <f t="shared" si="0"/>
        <v>333333.33333333331</v>
      </c>
    </row>
    <row r="56" spans="2:10">
      <c r="B56">
        <v>202202</v>
      </c>
      <c r="C56" t="s">
        <v>114</v>
      </c>
      <c r="D56" t="s">
        <v>92</v>
      </c>
      <c r="E56">
        <v>0</v>
      </c>
      <c r="F56" t="s">
        <v>119</v>
      </c>
      <c r="G56" s="116">
        <v>0</v>
      </c>
      <c r="I56" s="119" t="str">
        <f t="shared" si="1"/>
        <v>일시납</v>
      </c>
      <c r="J56" s="118">
        <f t="shared" si="0"/>
        <v>0</v>
      </c>
    </row>
    <row r="57" spans="2:10">
      <c r="B57">
        <v>202202</v>
      </c>
      <c r="C57" t="s">
        <v>114</v>
      </c>
      <c r="D57" t="s">
        <v>92</v>
      </c>
      <c r="E57">
        <v>0</v>
      </c>
      <c r="F57" t="s">
        <v>118</v>
      </c>
      <c r="G57" s="116">
        <v>0</v>
      </c>
      <c r="I57" s="119" t="str">
        <f t="shared" si="1"/>
        <v>일시납</v>
      </c>
      <c r="J57" s="118">
        <f t="shared" si="0"/>
        <v>0</v>
      </c>
    </row>
    <row r="58" spans="2:10">
      <c r="B58">
        <v>202202</v>
      </c>
      <c r="C58" t="s">
        <v>114</v>
      </c>
      <c r="D58" t="s">
        <v>92</v>
      </c>
      <c r="E58">
        <v>10</v>
      </c>
      <c r="F58" t="s">
        <v>119</v>
      </c>
      <c r="G58" s="116">
        <v>8001762027</v>
      </c>
      <c r="I58" s="119">
        <f t="shared" si="1"/>
        <v>1</v>
      </c>
      <c r="J58" s="118">
        <f t="shared" si="0"/>
        <v>8001762027</v>
      </c>
    </row>
    <row r="59" spans="2:10">
      <c r="B59">
        <v>202202</v>
      </c>
      <c r="C59" t="s">
        <v>114</v>
      </c>
      <c r="D59" t="s">
        <v>92</v>
      </c>
      <c r="E59">
        <v>90</v>
      </c>
      <c r="F59" t="s">
        <v>119</v>
      </c>
      <c r="G59" s="116">
        <v>40000000</v>
      </c>
      <c r="I59" s="119">
        <f t="shared" si="1"/>
        <v>12</v>
      </c>
      <c r="J59" s="118">
        <f t="shared" si="0"/>
        <v>3333333.3333333335</v>
      </c>
    </row>
    <row r="60" spans="2:10">
      <c r="B60">
        <v>202202</v>
      </c>
      <c r="C60" t="s">
        <v>114</v>
      </c>
      <c r="D60" t="s">
        <v>92</v>
      </c>
      <c r="E60">
        <v>90</v>
      </c>
      <c r="F60" t="s">
        <v>118</v>
      </c>
      <c r="G60" s="116">
        <v>0</v>
      </c>
      <c r="I60" s="119">
        <f t="shared" si="1"/>
        <v>12</v>
      </c>
      <c r="J60" s="118">
        <f t="shared" si="0"/>
        <v>0</v>
      </c>
    </row>
    <row r="61" spans="2:10">
      <c r="B61">
        <v>202203</v>
      </c>
      <c r="C61" t="s">
        <v>109</v>
      </c>
      <c r="D61" t="s">
        <v>89</v>
      </c>
      <c r="E61">
        <v>0</v>
      </c>
      <c r="F61" t="s">
        <v>118</v>
      </c>
      <c r="G61" s="116">
        <v>779964</v>
      </c>
      <c r="I61" s="119" t="str">
        <f t="shared" si="1"/>
        <v>일시납</v>
      </c>
      <c r="J61" s="118">
        <f t="shared" si="0"/>
        <v>0</v>
      </c>
    </row>
    <row r="62" spans="2:10">
      <c r="B62">
        <v>202203</v>
      </c>
      <c r="C62" t="s">
        <v>109</v>
      </c>
      <c r="D62" t="s">
        <v>89</v>
      </c>
      <c r="E62">
        <v>10</v>
      </c>
      <c r="F62" t="s">
        <v>119</v>
      </c>
      <c r="G62" s="116">
        <v>116138559689</v>
      </c>
      <c r="I62" s="119">
        <f t="shared" si="1"/>
        <v>1</v>
      </c>
      <c r="J62" s="118">
        <f t="shared" si="0"/>
        <v>116138559689</v>
      </c>
    </row>
    <row r="63" spans="2:10">
      <c r="B63">
        <v>202203</v>
      </c>
      <c r="C63" t="s">
        <v>109</v>
      </c>
      <c r="D63" t="s">
        <v>89</v>
      </c>
      <c r="E63">
        <v>10</v>
      </c>
      <c r="F63" t="s">
        <v>118</v>
      </c>
      <c r="G63" s="116">
        <v>1584730476</v>
      </c>
      <c r="I63" s="119">
        <f t="shared" si="1"/>
        <v>1</v>
      </c>
      <c r="J63" s="118">
        <f t="shared" si="0"/>
        <v>1584730476</v>
      </c>
    </row>
    <row r="64" spans="2:10">
      <c r="B64">
        <v>202203</v>
      </c>
      <c r="C64" t="s">
        <v>109</v>
      </c>
      <c r="D64" t="s">
        <v>89</v>
      </c>
      <c r="E64">
        <v>20</v>
      </c>
      <c r="F64" t="s">
        <v>119</v>
      </c>
      <c r="G64" s="116">
        <v>102980</v>
      </c>
      <c r="I64" s="119">
        <f t="shared" si="1"/>
        <v>2</v>
      </c>
      <c r="J64" s="118">
        <f t="shared" si="0"/>
        <v>51490</v>
      </c>
    </row>
    <row r="65" spans="2:10">
      <c r="B65">
        <v>202203</v>
      </c>
      <c r="C65" t="s">
        <v>109</v>
      </c>
      <c r="D65" t="s">
        <v>89</v>
      </c>
      <c r="E65">
        <v>30</v>
      </c>
      <c r="F65" t="s">
        <v>119</v>
      </c>
      <c r="G65" s="116">
        <v>1071120</v>
      </c>
      <c r="I65" s="119">
        <f t="shared" si="1"/>
        <v>3</v>
      </c>
      <c r="J65" s="118">
        <f t="shared" si="0"/>
        <v>357040</v>
      </c>
    </row>
    <row r="66" spans="2:10">
      <c r="B66">
        <v>202203</v>
      </c>
      <c r="C66" t="s">
        <v>109</v>
      </c>
      <c r="D66" t="s">
        <v>89</v>
      </c>
      <c r="E66">
        <v>60</v>
      </c>
      <c r="F66" t="s">
        <v>119</v>
      </c>
      <c r="G66" s="116">
        <v>2397357</v>
      </c>
      <c r="I66" s="119">
        <f t="shared" si="1"/>
        <v>6</v>
      </c>
      <c r="J66" s="118">
        <f t="shared" si="0"/>
        <v>399559.5</v>
      </c>
    </row>
    <row r="67" spans="2:10">
      <c r="B67">
        <v>202203</v>
      </c>
      <c r="C67" t="s">
        <v>109</v>
      </c>
      <c r="D67" t="s">
        <v>89</v>
      </c>
      <c r="E67">
        <v>60</v>
      </c>
      <c r="F67" t="s">
        <v>118</v>
      </c>
      <c r="G67" s="116">
        <v>0</v>
      </c>
      <c r="I67" s="119">
        <f t="shared" si="1"/>
        <v>6</v>
      </c>
      <c r="J67" s="118">
        <f t="shared" ref="J67:J130" si="2">+IF(E67=0,0,G67/I67)</f>
        <v>0</v>
      </c>
    </row>
    <row r="68" spans="2:10">
      <c r="B68">
        <v>202203</v>
      </c>
      <c r="C68" t="s">
        <v>109</v>
      </c>
      <c r="D68" t="s">
        <v>89</v>
      </c>
      <c r="E68">
        <v>90</v>
      </c>
      <c r="F68" t="s">
        <v>119</v>
      </c>
      <c r="G68" s="116">
        <v>19682886</v>
      </c>
      <c r="I68" s="119">
        <f t="shared" ref="I68:I131" si="3">+VLOOKUP($E68,$N$2:$P$7,3,0)</f>
        <v>12</v>
      </c>
      <c r="J68" s="118">
        <f t="shared" si="2"/>
        <v>1640240.5</v>
      </c>
    </row>
    <row r="69" spans="2:10">
      <c r="B69">
        <v>202203</v>
      </c>
      <c r="C69" t="s">
        <v>109</v>
      </c>
      <c r="D69" t="s">
        <v>89</v>
      </c>
      <c r="E69">
        <v>90</v>
      </c>
      <c r="F69" t="s">
        <v>118</v>
      </c>
      <c r="G69" s="116">
        <v>246813</v>
      </c>
      <c r="I69" s="119">
        <f t="shared" si="3"/>
        <v>12</v>
      </c>
      <c r="J69" s="118">
        <f t="shared" si="2"/>
        <v>20567.75</v>
      </c>
    </row>
    <row r="70" spans="2:10">
      <c r="B70">
        <v>202203</v>
      </c>
      <c r="C70" t="s">
        <v>109</v>
      </c>
      <c r="D70" t="s">
        <v>15</v>
      </c>
      <c r="E70">
        <v>10</v>
      </c>
      <c r="F70" t="s">
        <v>119</v>
      </c>
      <c r="G70" s="116">
        <v>10675212321</v>
      </c>
      <c r="I70" s="119">
        <f t="shared" si="3"/>
        <v>1</v>
      </c>
      <c r="J70" s="118">
        <f t="shared" si="2"/>
        <v>10675212321</v>
      </c>
    </row>
    <row r="71" spans="2:10">
      <c r="B71">
        <v>202203</v>
      </c>
      <c r="C71" t="s">
        <v>109</v>
      </c>
      <c r="D71" t="s">
        <v>15</v>
      </c>
      <c r="E71">
        <v>10</v>
      </c>
      <c r="F71" t="s">
        <v>118</v>
      </c>
      <c r="G71" s="116">
        <v>586084711</v>
      </c>
      <c r="I71" s="119">
        <f t="shared" si="3"/>
        <v>1</v>
      </c>
      <c r="J71" s="118">
        <f t="shared" si="2"/>
        <v>586084711</v>
      </c>
    </row>
    <row r="72" spans="2:10">
      <c r="B72">
        <v>202203</v>
      </c>
      <c r="C72" t="s">
        <v>109</v>
      </c>
      <c r="D72" t="s">
        <v>15</v>
      </c>
      <c r="E72">
        <v>30</v>
      </c>
      <c r="F72" t="s">
        <v>119</v>
      </c>
      <c r="G72" s="116">
        <v>210000</v>
      </c>
      <c r="I72" s="119">
        <f t="shared" si="3"/>
        <v>3</v>
      </c>
      <c r="J72" s="118">
        <f t="shared" si="2"/>
        <v>70000</v>
      </c>
    </row>
    <row r="73" spans="2:10">
      <c r="B73">
        <v>202203</v>
      </c>
      <c r="C73" t="s">
        <v>109</v>
      </c>
      <c r="D73" t="s">
        <v>15</v>
      </c>
      <c r="E73">
        <v>60</v>
      </c>
      <c r="F73" t="s">
        <v>119</v>
      </c>
      <c r="G73" s="116">
        <v>420000</v>
      </c>
      <c r="I73" s="119">
        <f t="shared" si="3"/>
        <v>6</v>
      </c>
      <c r="J73" s="118">
        <f t="shared" si="2"/>
        <v>70000</v>
      </c>
    </row>
    <row r="74" spans="2:10">
      <c r="B74">
        <v>202203</v>
      </c>
      <c r="C74" t="s">
        <v>109</v>
      </c>
      <c r="D74" t="s">
        <v>15</v>
      </c>
      <c r="E74">
        <v>90</v>
      </c>
      <c r="F74" t="s">
        <v>119</v>
      </c>
      <c r="G74" s="116">
        <v>1533561</v>
      </c>
      <c r="I74" s="119">
        <f t="shared" si="3"/>
        <v>12</v>
      </c>
      <c r="J74" s="118">
        <f t="shared" si="2"/>
        <v>127796.75</v>
      </c>
    </row>
    <row r="75" spans="2:10">
      <c r="B75">
        <v>202203</v>
      </c>
      <c r="C75" t="s">
        <v>109</v>
      </c>
      <c r="D75" t="s">
        <v>15</v>
      </c>
      <c r="E75">
        <v>90</v>
      </c>
      <c r="F75" t="s">
        <v>118</v>
      </c>
      <c r="G75" s="116">
        <v>9555445</v>
      </c>
      <c r="I75" s="119">
        <f t="shared" si="3"/>
        <v>12</v>
      </c>
      <c r="J75" s="118">
        <f t="shared" si="2"/>
        <v>796287.08333333337</v>
      </c>
    </row>
    <row r="76" spans="2:10">
      <c r="B76">
        <v>202203</v>
      </c>
      <c r="C76" t="s">
        <v>109</v>
      </c>
      <c r="D76" t="s">
        <v>90</v>
      </c>
      <c r="E76">
        <v>10</v>
      </c>
      <c r="F76" t="s">
        <v>119</v>
      </c>
      <c r="G76" s="116">
        <v>20680375283</v>
      </c>
      <c r="I76" s="119">
        <f t="shared" si="3"/>
        <v>1</v>
      </c>
      <c r="J76" s="118">
        <f t="shared" si="2"/>
        <v>20680375283</v>
      </c>
    </row>
    <row r="77" spans="2:10">
      <c r="B77">
        <v>202203</v>
      </c>
      <c r="C77" t="s">
        <v>109</v>
      </c>
      <c r="D77" t="s">
        <v>90</v>
      </c>
      <c r="E77">
        <v>10</v>
      </c>
      <c r="F77" t="s">
        <v>118</v>
      </c>
      <c r="G77" s="116">
        <v>21346756</v>
      </c>
      <c r="I77" s="119">
        <f t="shared" si="3"/>
        <v>1</v>
      </c>
      <c r="J77" s="118">
        <f t="shared" si="2"/>
        <v>21346756</v>
      </c>
    </row>
    <row r="78" spans="2:10">
      <c r="B78">
        <v>202203</v>
      </c>
      <c r="C78" t="s">
        <v>109</v>
      </c>
      <c r="D78" t="s">
        <v>90</v>
      </c>
      <c r="E78">
        <v>30</v>
      </c>
      <c r="F78" t="s">
        <v>119</v>
      </c>
      <c r="G78" s="116">
        <v>105200</v>
      </c>
      <c r="I78" s="119">
        <f t="shared" si="3"/>
        <v>3</v>
      </c>
      <c r="J78" s="118">
        <f t="shared" si="2"/>
        <v>35066.666666666664</v>
      </c>
    </row>
    <row r="79" spans="2:10">
      <c r="B79">
        <v>202203</v>
      </c>
      <c r="C79" t="s">
        <v>109</v>
      </c>
      <c r="D79" t="s">
        <v>90</v>
      </c>
      <c r="E79">
        <v>90</v>
      </c>
      <c r="F79" t="s">
        <v>119</v>
      </c>
      <c r="G79" s="116">
        <v>9062400</v>
      </c>
      <c r="I79" s="119">
        <f t="shared" si="3"/>
        <v>12</v>
      </c>
      <c r="J79" s="118">
        <f t="shared" si="2"/>
        <v>755200</v>
      </c>
    </row>
    <row r="80" spans="2:10">
      <c r="B80">
        <v>202203</v>
      </c>
      <c r="C80" t="s">
        <v>91</v>
      </c>
      <c r="D80" t="s">
        <v>91</v>
      </c>
      <c r="E80">
        <v>10</v>
      </c>
      <c r="F80" t="s">
        <v>119</v>
      </c>
      <c r="G80" s="116">
        <v>2625545387</v>
      </c>
      <c r="I80" s="119">
        <f t="shared" si="3"/>
        <v>1</v>
      </c>
      <c r="J80" s="118">
        <f t="shared" si="2"/>
        <v>2625545387</v>
      </c>
    </row>
    <row r="81" spans="2:10">
      <c r="B81">
        <v>202203</v>
      </c>
      <c r="C81" t="s">
        <v>91</v>
      </c>
      <c r="D81" t="s">
        <v>91</v>
      </c>
      <c r="E81">
        <v>10</v>
      </c>
      <c r="F81" t="s">
        <v>118</v>
      </c>
      <c r="G81" s="116">
        <v>18421757</v>
      </c>
      <c r="I81" s="119">
        <f t="shared" si="3"/>
        <v>1</v>
      </c>
      <c r="J81" s="118">
        <f t="shared" si="2"/>
        <v>18421757</v>
      </c>
    </row>
    <row r="82" spans="2:10">
      <c r="B82">
        <v>202203</v>
      </c>
      <c r="C82" t="s">
        <v>91</v>
      </c>
      <c r="D82" t="s">
        <v>91</v>
      </c>
      <c r="E82">
        <v>30</v>
      </c>
      <c r="F82" t="s">
        <v>119</v>
      </c>
      <c r="G82" s="116">
        <v>780000</v>
      </c>
      <c r="I82" s="119">
        <f t="shared" si="3"/>
        <v>3</v>
      </c>
      <c r="J82" s="118">
        <f t="shared" si="2"/>
        <v>260000</v>
      </c>
    </row>
    <row r="83" spans="2:10">
      <c r="B83">
        <v>202203</v>
      </c>
      <c r="C83" t="s">
        <v>91</v>
      </c>
      <c r="D83" t="s">
        <v>91</v>
      </c>
      <c r="E83">
        <v>30</v>
      </c>
      <c r="F83" t="s">
        <v>118</v>
      </c>
      <c r="G83" s="116">
        <v>0</v>
      </c>
      <c r="I83" s="119">
        <f t="shared" si="3"/>
        <v>3</v>
      </c>
      <c r="J83" s="118">
        <f t="shared" si="2"/>
        <v>0</v>
      </c>
    </row>
    <row r="84" spans="2:10">
      <c r="B84">
        <v>202203</v>
      </c>
      <c r="C84" t="s">
        <v>91</v>
      </c>
      <c r="D84" t="s">
        <v>91</v>
      </c>
      <c r="E84">
        <v>60</v>
      </c>
      <c r="F84" t="s">
        <v>119</v>
      </c>
      <c r="G84" s="116">
        <v>54000</v>
      </c>
      <c r="I84" s="119">
        <f t="shared" si="3"/>
        <v>6</v>
      </c>
      <c r="J84" s="118">
        <f t="shared" si="2"/>
        <v>9000</v>
      </c>
    </row>
    <row r="85" spans="2:10">
      <c r="B85">
        <v>202203</v>
      </c>
      <c r="C85" t="s">
        <v>91</v>
      </c>
      <c r="D85" t="s">
        <v>91</v>
      </c>
      <c r="E85">
        <v>90</v>
      </c>
      <c r="F85" t="s">
        <v>119</v>
      </c>
      <c r="G85" s="116">
        <v>611170</v>
      </c>
      <c r="I85" s="119">
        <f t="shared" si="3"/>
        <v>12</v>
      </c>
      <c r="J85" s="118">
        <f t="shared" si="2"/>
        <v>50930.833333333336</v>
      </c>
    </row>
    <row r="86" spans="2:10">
      <c r="B86">
        <v>202203</v>
      </c>
      <c r="C86" t="s">
        <v>91</v>
      </c>
      <c r="D86" t="s">
        <v>91</v>
      </c>
      <c r="E86">
        <v>90</v>
      </c>
      <c r="F86" t="s">
        <v>118</v>
      </c>
      <c r="G86" s="116">
        <v>720000</v>
      </c>
      <c r="I86" s="119">
        <f t="shared" si="3"/>
        <v>12</v>
      </c>
      <c r="J86" s="118">
        <f t="shared" si="2"/>
        <v>60000</v>
      </c>
    </row>
    <row r="87" spans="2:10">
      <c r="B87">
        <v>202203</v>
      </c>
      <c r="C87" t="s">
        <v>114</v>
      </c>
      <c r="D87" t="s">
        <v>93</v>
      </c>
      <c r="E87">
        <v>10</v>
      </c>
      <c r="F87" t="s">
        <v>119</v>
      </c>
      <c r="G87" s="116">
        <v>4066234876</v>
      </c>
      <c r="I87" s="119">
        <f t="shared" si="3"/>
        <v>1</v>
      </c>
      <c r="J87" s="118">
        <f t="shared" si="2"/>
        <v>4066234876</v>
      </c>
    </row>
    <row r="88" spans="2:10">
      <c r="B88">
        <v>202203</v>
      </c>
      <c r="C88" t="s">
        <v>114</v>
      </c>
      <c r="D88" t="s">
        <v>93</v>
      </c>
      <c r="E88">
        <v>10</v>
      </c>
      <c r="F88" t="s">
        <v>118</v>
      </c>
      <c r="G88" s="116">
        <v>15966500</v>
      </c>
      <c r="I88" s="119">
        <f t="shared" si="3"/>
        <v>1</v>
      </c>
      <c r="J88" s="118">
        <f t="shared" si="2"/>
        <v>15966500</v>
      </c>
    </row>
    <row r="89" spans="2:10">
      <c r="B89">
        <v>202203</v>
      </c>
      <c r="C89" t="s">
        <v>114</v>
      </c>
      <c r="D89" t="s">
        <v>93</v>
      </c>
      <c r="E89">
        <v>90</v>
      </c>
      <c r="F89" t="s">
        <v>118</v>
      </c>
      <c r="G89" s="116">
        <v>0</v>
      </c>
      <c r="I89" s="119">
        <f t="shared" si="3"/>
        <v>12</v>
      </c>
      <c r="J89" s="118">
        <f t="shared" si="2"/>
        <v>0</v>
      </c>
    </row>
    <row r="90" spans="2:10">
      <c r="B90">
        <v>202203</v>
      </c>
      <c r="C90" t="s">
        <v>114</v>
      </c>
      <c r="D90" t="s">
        <v>92</v>
      </c>
      <c r="E90">
        <v>0</v>
      </c>
      <c r="F90" t="s">
        <v>119</v>
      </c>
      <c r="G90" s="116">
        <v>-40</v>
      </c>
      <c r="I90" s="119" t="str">
        <f t="shared" si="3"/>
        <v>일시납</v>
      </c>
      <c r="J90" s="118">
        <f t="shared" si="2"/>
        <v>0</v>
      </c>
    </row>
    <row r="91" spans="2:10">
      <c r="B91">
        <v>202203</v>
      </c>
      <c r="C91" t="s">
        <v>114</v>
      </c>
      <c r="D91" t="s">
        <v>92</v>
      </c>
      <c r="E91">
        <v>0</v>
      </c>
      <c r="F91" t="s">
        <v>118</v>
      </c>
      <c r="G91" s="116">
        <v>0</v>
      </c>
      <c r="I91" s="119" t="str">
        <f t="shared" si="3"/>
        <v>일시납</v>
      </c>
      <c r="J91" s="118">
        <f t="shared" si="2"/>
        <v>0</v>
      </c>
    </row>
    <row r="92" spans="2:10">
      <c r="B92">
        <v>202203</v>
      </c>
      <c r="C92" t="s">
        <v>114</v>
      </c>
      <c r="D92" t="s">
        <v>92</v>
      </c>
      <c r="E92">
        <v>10</v>
      </c>
      <c r="F92" t="s">
        <v>119</v>
      </c>
      <c r="G92" s="116">
        <v>7647488353</v>
      </c>
      <c r="I92" s="119">
        <f t="shared" si="3"/>
        <v>1</v>
      </c>
      <c r="J92" s="118">
        <f t="shared" si="2"/>
        <v>7647488353</v>
      </c>
    </row>
    <row r="93" spans="2:10">
      <c r="B93">
        <v>202203</v>
      </c>
      <c r="C93" t="s">
        <v>114</v>
      </c>
      <c r="D93" t="s">
        <v>92</v>
      </c>
      <c r="E93">
        <v>90</v>
      </c>
      <c r="F93" t="s">
        <v>119</v>
      </c>
      <c r="G93" s="116">
        <v>0</v>
      </c>
      <c r="I93" s="119">
        <f t="shared" si="3"/>
        <v>12</v>
      </c>
      <c r="J93" s="118">
        <f t="shared" si="2"/>
        <v>0</v>
      </c>
    </row>
    <row r="94" spans="2:10">
      <c r="B94">
        <v>202203</v>
      </c>
      <c r="C94" t="s">
        <v>114</v>
      </c>
      <c r="D94" t="s">
        <v>92</v>
      </c>
      <c r="E94">
        <v>90</v>
      </c>
      <c r="F94" t="s">
        <v>118</v>
      </c>
      <c r="G94" s="116">
        <v>0</v>
      </c>
      <c r="I94" s="119">
        <f t="shared" si="3"/>
        <v>12</v>
      </c>
      <c r="J94" s="118">
        <f t="shared" si="2"/>
        <v>0</v>
      </c>
    </row>
    <row r="95" spans="2:10">
      <c r="B95">
        <v>202204</v>
      </c>
      <c r="C95" t="s">
        <v>109</v>
      </c>
      <c r="D95" t="s">
        <v>89</v>
      </c>
      <c r="E95">
        <v>0</v>
      </c>
      <c r="F95" t="s">
        <v>118</v>
      </c>
      <c r="G95" s="116">
        <v>304682</v>
      </c>
      <c r="I95" s="119" t="str">
        <f t="shared" si="3"/>
        <v>일시납</v>
      </c>
      <c r="J95" s="118">
        <f t="shared" si="2"/>
        <v>0</v>
      </c>
    </row>
    <row r="96" spans="2:10">
      <c r="B96">
        <v>202204</v>
      </c>
      <c r="C96" t="s">
        <v>109</v>
      </c>
      <c r="D96" t="s">
        <v>89</v>
      </c>
      <c r="E96">
        <v>10</v>
      </c>
      <c r="F96" t="s">
        <v>119</v>
      </c>
      <c r="G96" s="116">
        <v>116270450307</v>
      </c>
      <c r="I96" s="119">
        <f t="shared" si="3"/>
        <v>1</v>
      </c>
      <c r="J96" s="118">
        <f t="shared" si="2"/>
        <v>116270450307</v>
      </c>
    </row>
    <row r="97" spans="2:10">
      <c r="B97">
        <v>202204</v>
      </c>
      <c r="C97" t="s">
        <v>109</v>
      </c>
      <c r="D97" t="s">
        <v>89</v>
      </c>
      <c r="E97">
        <v>10</v>
      </c>
      <c r="F97" t="s">
        <v>118</v>
      </c>
      <c r="G97" s="116">
        <v>1341990574</v>
      </c>
      <c r="I97" s="119">
        <f t="shared" si="3"/>
        <v>1</v>
      </c>
      <c r="J97" s="118">
        <f t="shared" si="2"/>
        <v>1341990574</v>
      </c>
    </row>
    <row r="98" spans="2:10">
      <c r="B98">
        <v>202204</v>
      </c>
      <c r="C98" t="s">
        <v>109</v>
      </c>
      <c r="D98" t="s">
        <v>89</v>
      </c>
      <c r="E98">
        <v>30</v>
      </c>
      <c r="F98" t="s">
        <v>119</v>
      </c>
      <c r="G98" s="116">
        <v>780910</v>
      </c>
      <c r="I98" s="119">
        <f t="shared" si="3"/>
        <v>3</v>
      </c>
      <c r="J98" s="118">
        <f t="shared" si="2"/>
        <v>260303.33333333334</v>
      </c>
    </row>
    <row r="99" spans="2:10">
      <c r="B99">
        <v>202204</v>
      </c>
      <c r="C99" t="s">
        <v>109</v>
      </c>
      <c r="D99" t="s">
        <v>89</v>
      </c>
      <c r="E99">
        <v>60</v>
      </c>
      <c r="F99" t="s">
        <v>119</v>
      </c>
      <c r="G99" s="116">
        <v>771360</v>
      </c>
      <c r="I99" s="119">
        <f t="shared" si="3"/>
        <v>6</v>
      </c>
      <c r="J99" s="118">
        <f t="shared" si="2"/>
        <v>128560</v>
      </c>
    </row>
    <row r="100" spans="2:10">
      <c r="B100">
        <v>202204</v>
      </c>
      <c r="C100" t="s">
        <v>109</v>
      </c>
      <c r="D100" t="s">
        <v>89</v>
      </c>
      <c r="E100">
        <v>60</v>
      </c>
      <c r="F100" t="s">
        <v>118</v>
      </c>
      <c r="G100" s="116">
        <v>0</v>
      </c>
      <c r="I100" s="119">
        <f t="shared" si="3"/>
        <v>6</v>
      </c>
      <c r="J100" s="118">
        <f t="shared" si="2"/>
        <v>0</v>
      </c>
    </row>
    <row r="101" spans="2:10">
      <c r="B101">
        <v>202204</v>
      </c>
      <c r="C101" t="s">
        <v>109</v>
      </c>
      <c r="D101" t="s">
        <v>89</v>
      </c>
      <c r="E101">
        <v>90</v>
      </c>
      <c r="F101" t="s">
        <v>119</v>
      </c>
      <c r="G101" s="116">
        <v>5961837</v>
      </c>
      <c r="I101" s="119">
        <f t="shared" si="3"/>
        <v>12</v>
      </c>
      <c r="J101" s="118">
        <f t="shared" si="2"/>
        <v>496819.75</v>
      </c>
    </row>
    <row r="102" spans="2:10">
      <c r="B102">
        <v>202204</v>
      </c>
      <c r="C102" t="s">
        <v>109</v>
      </c>
      <c r="D102" t="s">
        <v>89</v>
      </c>
      <c r="E102">
        <v>90</v>
      </c>
      <c r="F102" t="s">
        <v>118</v>
      </c>
      <c r="G102" s="116">
        <v>0</v>
      </c>
      <c r="I102" s="119">
        <f t="shared" si="3"/>
        <v>12</v>
      </c>
      <c r="J102" s="118">
        <f t="shared" si="2"/>
        <v>0</v>
      </c>
    </row>
    <row r="103" spans="2:10">
      <c r="B103">
        <v>202204</v>
      </c>
      <c r="C103" t="s">
        <v>109</v>
      </c>
      <c r="D103" t="s">
        <v>15</v>
      </c>
      <c r="E103">
        <v>10</v>
      </c>
      <c r="F103" t="s">
        <v>119</v>
      </c>
      <c r="G103" s="116">
        <v>11056905410</v>
      </c>
      <c r="I103" s="119">
        <f t="shared" si="3"/>
        <v>1</v>
      </c>
      <c r="J103" s="118">
        <f t="shared" si="2"/>
        <v>11056905410</v>
      </c>
    </row>
    <row r="104" spans="2:10">
      <c r="B104">
        <v>202204</v>
      </c>
      <c r="C104" t="s">
        <v>109</v>
      </c>
      <c r="D104" t="s">
        <v>15</v>
      </c>
      <c r="E104">
        <v>10</v>
      </c>
      <c r="F104" t="s">
        <v>118</v>
      </c>
      <c r="G104" s="116">
        <v>456074488</v>
      </c>
      <c r="I104" s="119">
        <f t="shared" si="3"/>
        <v>1</v>
      </c>
      <c r="J104" s="118">
        <f t="shared" si="2"/>
        <v>456074488</v>
      </c>
    </row>
    <row r="105" spans="2:10">
      <c r="B105">
        <v>202204</v>
      </c>
      <c r="C105" t="s">
        <v>109</v>
      </c>
      <c r="D105" t="s">
        <v>15</v>
      </c>
      <c r="E105">
        <v>30</v>
      </c>
      <c r="F105" t="s">
        <v>119</v>
      </c>
      <c r="G105" s="116">
        <v>1842520</v>
      </c>
      <c r="I105" s="119">
        <f t="shared" si="3"/>
        <v>3</v>
      </c>
      <c r="J105" s="118">
        <f t="shared" si="2"/>
        <v>614173.33333333337</v>
      </c>
    </row>
    <row r="106" spans="2:10">
      <c r="B106">
        <v>202204</v>
      </c>
      <c r="C106" t="s">
        <v>109</v>
      </c>
      <c r="D106" t="s">
        <v>15</v>
      </c>
      <c r="E106">
        <v>90</v>
      </c>
      <c r="F106" t="s">
        <v>119</v>
      </c>
      <c r="G106" s="116">
        <v>689400</v>
      </c>
      <c r="I106" s="119">
        <f t="shared" si="3"/>
        <v>12</v>
      </c>
      <c r="J106" s="118">
        <f t="shared" si="2"/>
        <v>57450</v>
      </c>
    </row>
    <row r="107" spans="2:10">
      <c r="B107">
        <v>202204</v>
      </c>
      <c r="C107" t="s">
        <v>109</v>
      </c>
      <c r="D107" t="s">
        <v>15</v>
      </c>
      <c r="E107">
        <v>90</v>
      </c>
      <c r="F107" t="s">
        <v>118</v>
      </c>
      <c r="G107" s="116">
        <v>908498</v>
      </c>
      <c r="I107" s="119">
        <f t="shared" si="3"/>
        <v>12</v>
      </c>
      <c r="J107" s="118">
        <f t="shared" si="2"/>
        <v>75708.166666666672</v>
      </c>
    </row>
    <row r="108" spans="2:10">
      <c r="B108">
        <v>202204</v>
      </c>
      <c r="C108" t="s">
        <v>109</v>
      </c>
      <c r="D108" t="s">
        <v>90</v>
      </c>
      <c r="E108">
        <v>10</v>
      </c>
      <c r="F108" t="s">
        <v>119</v>
      </c>
      <c r="G108" s="116">
        <v>20500977333</v>
      </c>
      <c r="I108" s="119">
        <f t="shared" si="3"/>
        <v>1</v>
      </c>
      <c r="J108" s="118">
        <f t="shared" si="2"/>
        <v>20500977333</v>
      </c>
    </row>
    <row r="109" spans="2:10">
      <c r="B109">
        <v>202204</v>
      </c>
      <c r="C109" t="s">
        <v>109</v>
      </c>
      <c r="D109" t="s">
        <v>90</v>
      </c>
      <c r="E109">
        <v>10</v>
      </c>
      <c r="F109" t="s">
        <v>118</v>
      </c>
      <c r="G109" s="116">
        <v>18939164</v>
      </c>
      <c r="I109" s="119">
        <f t="shared" si="3"/>
        <v>1</v>
      </c>
      <c r="J109" s="118">
        <f t="shared" si="2"/>
        <v>18939164</v>
      </c>
    </row>
    <row r="110" spans="2:10">
      <c r="B110">
        <v>202204</v>
      </c>
      <c r="C110" t="s">
        <v>109</v>
      </c>
      <c r="D110" t="s">
        <v>90</v>
      </c>
      <c r="E110">
        <v>30</v>
      </c>
      <c r="F110" t="s">
        <v>119</v>
      </c>
      <c r="G110" s="116">
        <v>133551</v>
      </c>
      <c r="I110" s="119">
        <f t="shared" si="3"/>
        <v>3</v>
      </c>
      <c r="J110" s="118">
        <f t="shared" si="2"/>
        <v>44517</v>
      </c>
    </row>
    <row r="111" spans="2:10">
      <c r="B111">
        <v>202204</v>
      </c>
      <c r="C111" t="s">
        <v>109</v>
      </c>
      <c r="D111" t="s">
        <v>90</v>
      </c>
      <c r="E111">
        <v>60</v>
      </c>
      <c r="F111" t="s">
        <v>119</v>
      </c>
      <c r="G111" s="116">
        <v>820320</v>
      </c>
      <c r="I111" s="119">
        <f t="shared" si="3"/>
        <v>6</v>
      </c>
      <c r="J111" s="118">
        <f t="shared" si="2"/>
        <v>136720</v>
      </c>
    </row>
    <row r="112" spans="2:10">
      <c r="B112">
        <v>202204</v>
      </c>
      <c r="C112" t="s">
        <v>109</v>
      </c>
      <c r="D112" t="s">
        <v>90</v>
      </c>
      <c r="E112">
        <v>90</v>
      </c>
      <c r="F112" t="s">
        <v>119</v>
      </c>
      <c r="G112" s="116">
        <v>4757370</v>
      </c>
      <c r="I112" s="119">
        <f t="shared" si="3"/>
        <v>12</v>
      </c>
      <c r="J112" s="118">
        <f t="shared" si="2"/>
        <v>396447.5</v>
      </c>
    </row>
    <row r="113" spans="2:10">
      <c r="B113">
        <v>202204</v>
      </c>
      <c r="C113" t="s">
        <v>91</v>
      </c>
      <c r="D113" t="s">
        <v>91</v>
      </c>
      <c r="E113">
        <v>10</v>
      </c>
      <c r="F113" t="s">
        <v>119</v>
      </c>
      <c r="G113" s="116">
        <v>2586903374</v>
      </c>
      <c r="I113" s="119">
        <f t="shared" si="3"/>
        <v>1</v>
      </c>
      <c r="J113" s="118">
        <f t="shared" si="2"/>
        <v>2586903374</v>
      </c>
    </row>
    <row r="114" spans="2:10">
      <c r="B114">
        <v>202204</v>
      </c>
      <c r="C114" t="s">
        <v>91</v>
      </c>
      <c r="D114" t="s">
        <v>91</v>
      </c>
      <c r="E114">
        <v>10</v>
      </c>
      <c r="F114" t="s">
        <v>118</v>
      </c>
      <c r="G114" s="116">
        <v>17897150</v>
      </c>
      <c r="I114" s="119">
        <f t="shared" si="3"/>
        <v>1</v>
      </c>
      <c r="J114" s="118">
        <f t="shared" si="2"/>
        <v>17897150</v>
      </c>
    </row>
    <row r="115" spans="2:10">
      <c r="B115">
        <v>202204</v>
      </c>
      <c r="C115" t="s">
        <v>91</v>
      </c>
      <c r="D115" t="s">
        <v>91</v>
      </c>
      <c r="E115">
        <v>30</v>
      </c>
      <c r="F115" t="s">
        <v>119</v>
      </c>
      <c r="G115" s="116">
        <v>630000</v>
      </c>
      <c r="I115" s="119">
        <f t="shared" si="3"/>
        <v>3</v>
      </c>
      <c r="J115" s="118">
        <f t="shared" si="2"/>
        <v>210000</v>
      </c>
    </row>
    <row r="116" spans="2:10">
      <c r="B116">
        <v>202204</v>
      </c>
      <c r="C116" t="s">
        <v>91</v>
      </c>
      <c r="D116" t="s">
        <v>91</v>
      </c>
      <c r="E116">
        <v>90</v>
      </c>
      <c r="F116" t="s">
        <v>119</v>
      </c>
      <c r="G116" s="116">
        <v>120000</v>
      </c>
      <c r="I116" s="119">
        <f t="shared" si="3"/>
        <v>12</v>
      </c>
      <c r="J116" s="118">
        <f t="shared" si="2"/>
        <v>10000</v>
      </c>
    </row>
    <row r="117" spans="2:10">
      <c r="B117">
        <v>202204</v>
      </c>
      <c r="C117" t="s">
        <v>114</v>
      </c>
      <c r="D117" t="s">
        <v>93</v>
      </c>
      <c r="E117">
        <v>10</v>
      </c>
      <c r="F117" t="s">
        <v>119</v>
      </c>
      <c r="G117" s="116">
        <v>3484368887</v>
      </c>
      <c r="I117" s="119">
        <f t="shared" si="3"/>
        <v>1</v>
      </c>
      <c r="J117" s="118">
        <f t="shared" si="2"/>
        <v>3484368887</v>
      </c>
    </row>
    <row r="118" spans="2:10">
      <c r="B118">
        <v>202204</v>
      </c>
      <c r="C118" t="s">
        <v>114</v>
      </c>
      <c r="D118" t="s">
        <v>93</v>
      </c>
      <c r="E118">
        <v>10</v>
      </c>
      <c r="F118" t="s">
        <v>118</v>
      </c>
      <c r="G118" s="116">
        <v>24220000</v>
      </c>
      <c r="I118" s="119">
        <f t="shared" si="3"/>
        <v>1</v>
      </c>
      <c r="J118" s="118">
        <f t="shared" si="2"/>
        <v>24220000</v>
      </c>
    </row>
    <row r="119" spans="2:10">
      <c r="B119">
        <v>202204</v>
      </c>
      <c r="C119" t="s">
        <v>114</v>
      </c>
      <c r="D119" t="s">
        <v>93</v>
      </c>
      <c r="E119">
        <v>30</v>
      </c>
      <c r="F119" t="s">
        <v>119</v>
      </c>
      <c r="G119" s="116">
        <v>900000</v>
      </c>
      <c r="I119" s="119">
        <f t="shared" si="3"/>
        <v>3</v>
      </c>
      <c r="J119" s="118">
        <f t="shared" si="2"/>
        <v>300000</v>
      </c>
    </row>
    <row r="120" spans="2:10">
      <c r="B120">
        <v>202204</v>
      </c>
      <c r="C120" t="s">
        <v>114</v>
      </c>
      <c r="D120" t="s">
        <v>92</v>
      </c>
      <c r="E120">
        <v>0</v>
      </c>
      <c r="F120" t="s">
        <v>119</v>
      </c>
      <c r="G120" s="116">
        <v>40</v>
      </c>
      <c r="I120" s="119" t="str">
        <f t="shared" si="3"/>
        <v>일시납</v>
      </c>
      <c r="J120" s="118">
        <f t="shared" si="2"/>
        <v>0</v>
      </c>
    </row>
    <row r="121" spans="2:10">
      <c r="B121">
        <v>202204</v>
      </c>
      <c r="C121" t="s">
        <v>114</v>
      </c>
      <c r="D121" t="s">
        <v>92</v>
      </c>
      <c r="E121">
        <v>0</v>
      </c>
      <c r="F121" t="s">
        <v>118</v>
      </c>
      <c r="G121" s="116">
        <v>-45000000</v>
      </c>
      <c r="I121" s="119" t="str">
        <f t="shared" si="3"/>
        <v>일시납</v>
      </c>
      <c r="J121" s="118">
        <f t="shared" si="2"/>
        <v>0</v>
      </c>
    </row>
    <row r="122" spans="2:10">
      <c r="B122">
        <v>202204</v>
      </c>
      <c r="C122" t="s">
        <v>114</v>
      </c>
      <c r="D122" t="s">
        <v>92</v>
      </c>
      <c r="E122">
        <v>10</v>
      </c>
      <c r="F122" t="s">
        <v>119</v>
      </c>
      <c r="G122" s="116">
        <v>7226205145</v>
      </c>
      <c r="I122" s="119">
        <f t="shared" si="3"/>
        <v>1</v>
      </c>
      <c r="J122" s="118">
        <f t="shared" si="2"/>
        <v>7226205145</v>
      </c>
    </row>
    <row r="123" spans="2:10">
      <c r="B123">
        <v>202204</v>
      </c>
      <c r="C123" t="s">
        <v>114</v>
      </c>
      <c r="D123" t="s">
        <v>92</v>
      </c>
      <c r="E123">
        <v>90</v>
      </c>
      <c r="F123" t="s">
        <v>119</v>
      </c>
      <c r="G123" s="116">
        <v>2000000</v>
      </c>
      <c r="I123" s="119">
        <f t="shared" si="3"/>
        <v>12</v>
      </c>
      <c r="J123" s="118">
        <f t="shared" si="2"/>
        <v>166666.66666666666</v>
      </c>
    </row>
    <row r="124" spans="2:10">
      <c r="B124">
        <v>202204</v>
      </c>
      <c r="C124" t="s">
        <v>114</v>
      </c>
      <c r="D124" t="s">
        <v>92</v>
      </c>
      <c r="E124">
        <v>90</v>
      </c>
      <c r="F124" t="s">
        <v>118</v>
      </c>
      <c r="G124" s="116">
        <v>0</v>
      </c>
      <c r="I124" s="119">
        <f t="shared" si="3"/>
        <v>12</v>
      </c>
      <c r="J124" s="118">
        <f t="shared" si="2"/>
        <v>0</v>
      </c>
    </row>
    <row r="125" spans="2:10">
      <c r="B125">
        <v>202205</v>
      </c>
      <c r="C125" t="s">
        <v>109</v>
      </c>
      <c r="D125" t="s">
        <v>89</v>
      </c>
      <c r="E125">
        <v>0</v>
      </c>
      <c r="F125" t="s">
        <v>118</v>
      </c>
      <c r="G125" s="116">
        <v>446456</v>
      </c>
      <c r="I125" s="119" t="str">
        <f t="shared" si="3"/>
        <v>일시납</v>
      </c>
      <c r="J125" s="118">
        <f t="shared" si="2"/>
        <v>0</v>
      </c>
    </row>
    <row r="126" spans="2:10">
      <c r="B126">
        <v>202205</v>
      </c>
      <c r="C126" t="s">
        <v>109</v>
      </c>
      <c r="D126" t="s">
        <v>89</v>
      </c>
      <c r="E126">
        <v>10</v>
      </c>
      <c r="F126" t="s">
        <v>119</v>
      </c>
      <c r="G126" s="116">
        <v>116662233329</v>
      </c>
      <c r="I126" s="119">
        <f t="shared" si="3"/>
        <v>1</v>
      </c>
      <c r="J126" s="118">
        <f t="shared" si="2"/>
        <v>116662233329</v>
      </c>
    </row>
    <row r="127" spans="2:10">
      <c r="B127">
        <v>202205</v>
      </c>
      <c r="C127" t="s">
        <v>109</v>
      </c>
      <c r="D127" t="s">
        <v>89</v>
      </c>
      <c r="E127">
        <v>10</v>
      </c>
      <c r="F127" t="s">
        <v>118</v>
      </c>
      <c r="G127" s="116">
        <v>1463650651</v>
      </c>
      <c r="I127" s="119">
        <f t="shared" si="3"/>
        <v>1</v>
      </c>
      <c r="J127" s="118">
        <f t="shared" si="2"/>
        <v>1463650651</v>
      </c>
    </row>
    <row r="128" spans="2:10">
      <c r="B128">
        <v>202205</v>
      </c>
      <c r="C128" t="s">
        <v>109</v>
      </c>
      <c r="D128" t="s">
        <v>89</v>
      </c>
      <c r="E128">
        <v>20</v>
      </c>
      <c r="F128" t="s">
        <v>119</v>
      </c>
      <c r="G128" s="116">
        <v>102980</v>
      </c>
      <c r="I128" s="119">
        <f t="shared" si="3"/>
        <v>2</v>
      </c>
      <c r="J128" s="118">
        <f t="shared" si="2"/>
        <v>51490</v>
      </c>
    </row>
    <row r="129" spans="2:10">
      <c r="B129">
        <v>202205</v>
      </c>
      <c r="C129" t="s">
        <v>109</v>
      </c>
      <c r="D129" t="s">
        <v>89</v>
      </c>
      <c r="E129">
        <v>30</v>
      </c>
      <c r="F129" t="s">
        <v>119</v>
      </c>
      <c r="G129" s="116">
        <v>1887324</v>
      </c>
      <c r="I129" s="119">
        <f t="shared" si="3"/>
        <v>3</v>
      </c>
      <c r="J129" s="118">
        <f t="shared" si="2"/>
        <v>629108</v>
      </c>
    </row>
    <row r="130" spans="2:10">
      <c r="B130">
        <v>202205</v>
      </c>
      <c r="C130" t="s">
        <v>109</v>
      </c>
      <c r="D130" t="s">
        <v>89</v>
      </c>
      <c r="E130">
        <v>90</v>
      </c>
      <c r="F130" t="s">
        <v>119</v>
      </c>
      <c r="G130" s="116">
        <v>16380561</v>
      </c>
      <c r="I130" s="119">
        <f t="shared" si="3"/>
        <v>12</v>
      </c>
      <c r="J130" s="118">
        <f t="shared" si="2"/>
        <v>1365046.75</v>
      </c>
    </row>
    <row r="131" spans="2:10">
      <c r="B131">
        <v>202205</v>
      </c>
      <c r="C131" t="s">
        <v>109</v>
      </c>
      <c r="D131" t="s">
        <v>89</v>
      </c>
      <c r="E131">
        <v>90</v>
      </c>
      <c r="F131" t="s">
        <v>118</v>
      </c>
      <c r="G131" s="116">
        <v>0</v>
      </c>
      <c r="I131" s="119">
        <f t="shared" si="3"/>
        <v>12</v>
      </c>
      <c r="J131" s="118">
        <f t="shared" ref="J131:J194" si="4">+IF(E131=0,0,G131/I131)</f>
        <v>0</v>
      </c>
    </row>
    <row r="132" spans="2:10">
      <c r="B132">
        <v>202205</v>
      </c>
      <c r="C132" t="s">
        <v>109</v>
      </c>
      <c r="D132" t="s">
        <v>15</v>
      </c>
      <c r="E132">
        <v>10</v>
      </c>
      <c r="F132" t="s">
        <v>119</v>
      </c>
      <c r="G132" s="116">
        <v>11360241936</v>
      </c>
      <c r="I132" s="119">
        <f t="shared" ref="I132:I195" si="5">+VLOOKUP($E132,$N$2:$P$7,3,0)</f>
        <v>1</v>
      </c>
      <c r="J132" s="118">
        <f t="shared" si="4"/>
        <v>11360241936</v>
      </c>
    </row>
    <row r="133" spans="2:10">
      <c r="B133">
        <v>202205</v>
      </c>
      <c r="C133" t="s">
        <v>109</v>
      </c>
      <c r="D133" t="s">
        <v>15</v>
      </c>
      <c r="E133">
        <v>10</v>
      </c>
      <c r="F133" t="s">
        <v>118</v>
      </c>
      <c r="G133" s="116">
        <v>471953859</v>
      </c>
      <c r="I133" s="119">
        <f t="shared" si="5"/>
        <v>1</v>
      </c>
      <c r="J133" s="118">
        <f t="shared" si="4"/>
        <v>471953859</v>
      </c>
    </row>
    <row r="134" spans="2:10">
      <c r="B134">
        <v>202205</v>
      </c>
      <c r="C134" t="s">
        <v>109</v>
      </c>
      <c r="D134" t="s">
        <v>15</v>
      </c>
      <c r="E134">
        <v>90</v>
      </c>
      <c r="F134" t="s">
        <v>119</v>
      </c>
      <c r="G134" s="116">
        <v>874800</v>
      </c>
      <c r="I134" s="119">
        <f t="shared" si="5"/>
        <v>12</v>
      </c>
      <c r="J134" s="118">
        <f t="shared" si="4"/>
        <v>72900</v>
      </c>
    </row>
    <row r="135" spans="2:10">
      <c r="B135">
        <v>202205</v>
      </c>
      <c r="C135" t="s">
        <v>109</v>
      </c>
      <c r="D135" t="s">
        <v>15</v>
      </c>
      <c r="E135">
        <v>90</v>
      </c>
      <c r="F135" t="s">
        <v>118</v>
      </c>
      <c r="G135" s="116">
        <v>731884</v>
      </c>
      <c r="I135" s="119">
        <f t="shared" si="5"/>
        <v>12</v>
      </c>
      <c r="J135" s="118">
        <f t="shared" si="4"/>
        <v>60990.333333333336</v>
      </c>
    </row>
    <row r="136" spans="2:10">
      <c r="B136">
        <v>202205</v>
      </c>
      <c r="C136" t="s">
        <v>109</v>
      </c>
      <c r="D136" t="s">
        <v>90</v>
      </c>
      <c r="E136">
        <v>10</v>
      </c>
      <c r="F136" t="s">
        <v>119</v>
      </c>
      <c r="G136" s="116">
        <v>20399808848</v>
      </c>
      <c r="I136" s="119">
        <f t="shared" si="5"/>
        <v>1</v>
      </c>
      <c r="J136" s="118">
        <f t="shared" si="4"/>
        <v>20399808848</v>
      </c>
    </row>
    <row r="137" spans="2:10">
      <c r="B137">
        <v>202205</v>
      </c>
      <c r="C137" t="s">
        <v>109</v>
      </c>
      <c r="D137" t="s">
        <v>90</v>
      </c>
      <c r="E137">
        <v>10</v>
      </c>
      <c r="F137" t="s">
        <v>118</v>
      </c>
      <c r="G137" s="116">
        <v>15753171</v>
      </c>
      <c r="I137" s="119">
        <f t="shared" si="5"/>
        <v>1</v>
      </c>
      <c r="J137" s="118">
        <f t="shared" si="4"/>
        <v>15753171</v>
      </c>
    </row>
    <row r="138" spans="2:10">
      <c r="B138">
        <v>202205</v>
      </c>
      <c r="C138" t="s">
        <v>109</v>
      </c>
      <c r="D138" t="s">
        <v>90</v>
      </c>
      <c r="E138">
        <v>30</v>
      </c>
      <c r="F138" t="s">
        <v>119</v>
      </c>
      <c r="G138" s="116">
        <v>300000</v>
      </c>
      <c r="I138" s="119">
        <f t="shared" si="5"/>
        <v>3</v>
      </c>
      <c r="J138" s="118">
        <f t="shared" si="4"/>
        <v>100000</v>
      </c>
    </row>
    <row r="139" spans="2:10">
      <c r="B139">
        <v>202205</v>
      </c>
      <c r="C139" t="s">
        <v>91</v>
      </c>
      <c r="D139" t="s">
        <v>91</v>
      </c>
      <c r="E139">
        <v>10</v>
      </c>
      <c r="F139" t="s">
        <v>119</v>
      </c>
      <c r="G139" s="116">
        <v>2551051501</v>
      </c>
      <c r="I139" s="119">
        <f t="shared" si="5"/>
        <v>1</v>
      </c>
      <c r="J139" s="118">
        <f t="shared" si="4"/>
        <v>2551051501</v>
      </c>
    </row>
    <row r="140" spans="2:10">
      <c r="B140">
        <v>202205</v>
      </c>
      <c r="C140" t="s">
        <v>91</v>
      </c>
      <c r="D140" t="s">
        <v>91</v>
      </c>
      <c r="E140">
        <v>10</v>
      </c>
      <c r="F140" t="s">
        <v>118</v>
      </c>
      <c r="G140" s="116">
        <v>17464805</v>
      </c>
      <c r="I140" s="119">
        <f t="shared" si="5"/>
        <v>1</v>
      </c>
      <c r="J140" s="118">
        <f t="shared" si="4"/>
        <v>17464805</v>
      </c>
    </row>
    <row r="141" spans="2:10">
      <c r="B141">
        <v>202205</v>
      </c>
      <c r="C141" t="s">
        <v>91</v>
      </c>
      <c r="D141" t="s">
        <v>91</v>
      </c>
      <c r="E141">
        <v>30</v>
      </c>
      <c r="F141" t="s">
        <v>119</v>
      </c>
      <c r="G141" s="116">
        <v>2000000</v>
      </c>
      <c r="I141" s="119">
        <f t="shared" si="5"/>
        <v>3</v>
      </c>
      <c r="J141" s="118">
        <f t="shared" si="4"/>
        <v>666666.66666666663</v>
      </c>
    </row>
    <row r="142" spans="2:10">
      <c r="B142">
        <v>202205</v>
      </c>
      <c r="C142" t="s">
        <v>91</v>
      </c>
      <c r="D142" t="s">
        <v>91</v>
      </c>
      <c r="E142">
        <v>90</v>
      </c>
      <c r="F142" t="s">
        <v>119</v>
      </c>
      <c r="G142" s="116">
        <v>1137668</v>
      </c>
      <c r="I142" s="119">
        <f t="shared" si="5"/>
        <v>12</v>
      </c>
      <c r="J142" s="118">
        <f t="shared" si="4"/>
        <v>94805.666666666672</v>
      </c>
    </row>
    <row r="143" spans="2:10">
      <c r="B143">
        <v>202205</v>
      </c>
      <c r="C143" t="s">
        <v>114</v>
      </c>
      <c r="D143" t="s">
        <v>93</v>
      </c>
      <c r="E143">
        <v>10</v>
      </c>
      <c r="F143" t="s">
        <v>119</v>
      </c>
      <c r="G143" s="116">
        <v>3430074285</v>
      </c>
      <c r="I143" s="119">
        <f t="shared" si="5"/>
        <v>1</v>
      </c>
      <c r="J143" s="118">
        <f t="shared" si="4"/>
        <v>3430074285</v>
      </c>
    </row>
    <row r="144" spans="2:10">
      <c r="B144">
        <v>202205</v>
      </c>
      <c r="C144" t="s">
        <v>114</v>
      </c>
      <c r="D144" t="s">
        <v>93</v>
      </c>
      <c r="E144">
        <v>10</v>
      </c>
      <c r="F144" t="s">
        <v>118</v>
      </c>
      <c r="G144" s="116">
        <v>36770000</v>
      </c>
      <c r="I144" s="119">
        <f t="shared" si="5"/>
        <v>1</v>
      </c>
      <c r="J144" s="118">
        <f t="shared" si="4"/>
        <v>36770000</v>
      </c>
    </row>
    <row r="145" spans="2:10">
      <c r="B145">
        <v>202205</v>
      </c>
      <c r="C145" t="s">
        <v>114</v>
      </c>
      <c r="D145" t="s">
        <v>93</v>
      </c>
      <c r="E145">
        <v>90</v>
      </c>
      <c r="F145" t="s">
        <v>119</v>
      </c>
      <c r="G145" s="116">
        <v>20000000</v>
      </c>
      <c r="I145" s="119">
        <f t="shared" si="5"/>
        <v>12</v>
      </c>
      <c r="J145" s="118">
        <f t="shared" si="4"/>
        <v>1666666.6666666667</v>
      </c>
    </row>
    <row r="146" spans="2:10">
      <c r="B146">
        <v>202205</v>
      </c>
      <c r="C146" t="s">
        <v>114</v>
      </c>
      <c r="D146" t="s">
        <v>92</v>
      </c>
      <c r="E146">
        <v>0</v>
      </c>
      <c r="F146" t="s">
        <v>119</v>
      </c>
      <c r="G146" s="116">
        <v>11953</v>
      </c>
      <c r="I146" s="119" t="str">
        <f t="shared" si="5"/>
        <v>일시납</v>
      </c>
      <c r="J146" s="118">
        <f t="shared" si="4"/>
        <v>0</v>
      </c>
    </row>
    <row r="147" spans="2:10">
      <c r="B147">
        <v>202205</v>
      </c>
      <c r="C147" t="s">
        <v>114</v>
      </c>
      <c r="D147" t="s">
        <v>92</v>
      </c>
      <c r="E147">
        <v>0</v>
      </c>
      <c r="F147" t="s">
        <v>118</v>
      </c>
      <c r="G147" s="116">
        <v>0</v>
      </c>
      <c r="I147" s="119" t="str">
        <f t="shared" si="5"/>
        <v>일시납</v>
      </c>
      <c r="J147" s="118">
        <f t="shared" si="4"/>
        <v>0</v>
      </c>
    </row>
    <row r="148" spans="2:10">
      <c r="B148">
        <v>202205</v>
      </c>
      <c r="C148" t="s">
        <v>114</v>
      </c>
      <c r="D148" t="s">
        <v>92</v>
      </c>
      <c r="E148">
        <v>10</v>
      </c>
      <c r="F148" t="s">
        <v>119</v>
      </c>
      <c r="G148" s="116">
        <v>7008675799</v>
      </c>
      <c r="I148" s="119">
        <f t="shared" si="5"/>
        <v>1</v>
      </c>
      <c r="J148" s="118">
        <f t="shared" si="4"/>
        <v>7008675799</v>
      </c>
    </row>
    <row r="149" spans="2:10">
      <c r="B149">
        <v>202205</v>
      </c>
      <c r="C149" t="s">
        <v>114</v>
      </c>
      <c r="D149" t="s">
        <v>92</v>
      </c>
      <c r="E149">
        <v>60</v>
      </c>
      <c r="F149" t="s">
        <v>119</v>
      </c>
      <c r="G149" s="116">
        <v>600000</v>
      </c>
      <c r="I149" s="119">
        <f t="shared" si="5"/>
        <v>6</v>
      </c>
      <c r="J149" s="118">
        <f t="shared" si="4"/>
        <v>100000</v>
      </c>
    </row>
    <row r="150" spans="2:10">
      <c r="B150">
        <v>202205</v>
      </c>
      <c r="C150" t="s">
        <v>114</v>
      </c>
      <c r="D150" t="s">
        <v>92</v>
      </c>
      <c r="E150">
        <v>90</v>
      </c>
      <c r="F150" t="s">
        <v>119</v>
      </c>
      <c r="G150" s="116">
        <v>0</v>
      </c>
      <c r="I150" s="119">
        <f t="shared" si="5"/>
        <v>12</v>
      </c>
      <c r="J150" s="118">
        <f t="shared" si="4"/>
        <v>0</v>
      </c>
    </row>
    <row r="151" spans="2:10">
      <c r="B151">
        <v>202205</v>
      </c>
      <c r="C151" t="s">
        <v>114</v>
      </c>
      <c r="D151" t="s">
        <v>92</v>
      </c>
      <c r="E151">
        <v>90</v>
      </c>
      <c r="F151" t="s">
        <v>118</v>
      </c>
      <c r="G151" s="116">
        <v>0</v>
      </c>
      <c r="I151" s="119">
        <f t="shared" si="5"/>
        <v>12</v>
      </c>
      <c r="J151" s="118">
        <f t="shared" si="4"/>
        <v>0</v>
      </c>
    </row>
    <row r="152" spans="2:10">
      <c r="B152">
        <v>202206</v>
      </c>
      <c r="C152" t="s">
        <v>109</v>
      </c>
      <c r="D152" t="s">
        <v>89</v>
      </c>
      <c r="E152">
        <v>0</v>
      </c>
      <c r="F152" t="s">
        <v>118</v>
      </c>
      <c r="G152" s="116">
        <v>709930</v>
      </c>
      <c r="I152" s="119" t="str">
        <f t="shared" si="5"/>
        <v>일시납</v>
      </c>
      <c r="J152" s="118">
        <f t="shared" si="4"/>
        <v>0</v>
      </c>
    </row>
    <row r="153" spans="2:10">
      <c r="B153">
        <v>202206</v>
      </c>
      <c r="C153" t="s">
        <v>109</v>
      </c>
      <c r="D153" t="s">
        <v>89</v>
      </c>
      <c r="E153">
        <v>10</v>
      </c>
      <c r="F153" t="s">
        <v>119</v>
      </c>
      <c r="G153" s="116">
        <v>117190223578</v>
      </c>
      <c r="I153" s="119">
        <f t="shared" si="5"/>
        <v>1</v>
      </c>
      <c r="J153" s="118">
        <f t="shared" si="4"/>
        <v>117190223578</v>
      </c>
    </row>
    <row r="154" spans="2:10">
      <c r="B154">
        <v>202206</v>
      </c>
      <c r="C154" t="s">
        <v>109</v>
      </c>
      <c r="D154" t="s">
        <v>89</v>
      </c>
      <c r="E154">
        <v>10</v>
      </c>
      <c r="F154" t="s">
        <v>118</v>
      </c>
      <c r="G154" s="116">
        <v>1709733033</v>
      </c>
      <c r="I154" s="119">
        <f t="shared" si="5"/>
        <v>1</v>
      </c>
      <c r="J154" s="118">
        <f t="shared" si="4"/>
        <v>1709733033</v>
      </c>
    </row>
    <row r="155" spans="2:10">
      <c r="B155">
        <v>202206</v>
      </c>
      <c r="C155" t="s">
        <v>109</v>
      </c>
      <c r="D155" t="s">
        <v>89</v>
      </c>
      <c r="E155">
        <v>30</v>
      </c>
      <c r="F155" t="s">
        <v>119</v>
      </c>
      <c r="G155" s="116">
        <v>1071120</v>
      </c>
      <c r="I155" s="119">
        <f t="shared" si="5"/>
        <v>3</v>
      </c>
      <c r="J155" s="118">
        <f t="shared" si="4"/>
        <v>357040</v>
      </c>
    </row>
    <row r="156" spans="2:10">
      <c r="B156">
        <v>202206</v>
      </c>
      <c r="C156" t="s">
        <v>109</v>
      </c>
      <c r="D156" t="s">
        <v>89</v>
      </c>
      <c r="E156">
        <v>60</v>
      </c>
      <c r="F156" t="s">
        <v>119</v>
      </c>
      <c r="G156" s="116">
        <v>1376703</v>
      </c>
      <c r="I156" s="119">
        <f t="shared" si="5"/>
        <v>6</v>
      </c>
      <c r="J156" s="118">
        <f t="shared" si="4"/>
        <v>229450.5</v>
      </c>
    </row>
    <row r="157" spans="2:10">
      <c r="B157">
        <v>202206</v>
      </c>
      <c r="C157" t="s">
        <v>109</v>
      </c>
      <c r="D157" t="s">
        <v>89</v>
      </c>
      <c r="E157">
        <v>90</v>
      </c>
      <c r="F157" t="s">
        <v>119</v>
      </c>
      <c r="G157" s="116">
        <v>9273804</v>
      </c>
      <c r="I157" s="119">
        <f t="shared" si="5"/>
        <v>12</v>
      </c>
      <c r="J157" s="118">
        <f t="shared" si="4"/>
        <v>772817</v>
      </c>
    </row>
    <row r="158" spans="2:10">
      <c r="B158">
        <v>202206</v>
      </c>
      <c r="C158" t="s">
        <v>109</v>
      </c>
      <c r="D158" t="s">
        <v>89</v>
      </c>
      <c r="E158">
        <v>90</v>
      </c>
      <c r="F158" t="s">
        <v>118</v>
      </c>
      <c r="G158" s="116">
        <v>3999442</v>
      </c>
      <c r="I158" s="119">
        <f t="shared" si="5"/>
        <v>12</v>
      </c>
      <c r="J158" s="118">
        <f t="shared" si="4"/>
        <v>333286.83333333331</v>
      </c>
    </row>
    <row r="159" spans="2:10">
      <c r="B159">
        <v>202206</v>
      </c>
      <c r="C159" t="s">
        <v>109</v>
      </c>
      <c r="D159" t="s">
        <v>15</v>
      </c>
      <c r="E159">
        <v>10</v>
      </c>
      <c r="F159" t="s">
        <v>119</v>
      </c>
      <c r="G159" s="116">
        <v>11651346757</v>
      </c>
      <c r="I159" s="119">
        <f t="shared" si="5"/>
        <v>1</v>
      </c>
      <c r="J159" s="118">
        <f t="shared" si="4"/>
        <v>11651346757</v>
      </c>
    </row>
    <row r="160" spans="2:10">
      <c r="B160">
        <v>202206</v>
      </c>
      <c r="C160" t="s">
        <v>109</v>
      </c>
      <c r="D160" t="s">
        <v>15</v>
      </c>
      <c r="E160">
        <v>10</v>
      </c>
      <c r="F160" t="s">
        <v>118</v>
      </c>
      <c r="G160" s="116">
        <v>508920088</v>
      </c>
      <c r="I160" s="119">
        <f t="shared" si="5"/>
        <v>1</v>
      </c>
      <c r="J160" s="118">
        <f t="shared" si="4"/>
        <v>508920088</v>
      </c>
    </row>
    <row r="161" spans="2:10">
      <c r="B161">
        <v>202206</v>
      </c>
      <c r="C161" t="s">
        <v>109</v>
      </c>
      <c r="D161" t="s">
        <v>15</v>
      </c>
      <c r="E161">
        <v>30</v>
      </c>
      <c r="F161" t="s">
        <v>119</v>
      </c>
      <c r="G161" s="116">
        <v>210000</v>
      </c>
      <c r="I161" s="119">
        <f t="shared" si="5"/>
        <v>3</v>
      </c>
      <c r="J161" s="118">
        <f t="shared" si="4"/>
        <v>70000</v>
      </c>
    </row>
    <row r="162" spans="2:10">
      <c r="B162">
        <v>202206</v>
      </c>
      <c r="C162" t="s">
        <v>109</v>
      </c>
      <c r="D162" t="s">
        <v>15</v>
      </c>
      <c r="E162">
        <v>90</v>
      </c>
      <c r="F162" t="s">
        <v>119</v>
      </c>
      <c r="G162" s="116">
        <v>1645399</v>
      </c>
      <c r="I162" s="119">
        <f t="shared" si="5"/>
        <v>12</v>
      </c>
      <c r="J162" s="118">
        <f t="shared" si="4"/>
        <v>137116.58333333334</v>
      </c>
    </row>
    <row r="163" spans="2:10">
      <c r="B163">
        <v>202206</v>
      </c>
      <c r="C163" t="s">
        <v>109</v>
      </c>
      <c r="D163" t="s">
        <v>15</v>
      </c>
      <c r="E163">
        <v>90</v>
      </c>
      <c r="F163" t="s">
        <v>118</v>
      </c>
      <c r="G163" s="116">
        <v>783767</v>
      </c>
      <c r="I163" s="119">
        <f t="shared" si="5"/>
        <v>12</v>
      </c>
      <c r="J163" s="118">
        <f t="shared" si="4"/>
        <v>65313.916666666664</v>
      </c>
    </row>
    <row r="164" spans="2:10">
      <c r="B164">
        <v>202206</v>
      </c>
      <c r="C164" t="s">
        <v>109</v>
      </c>
      <c r="D164" t="s">
        <v>90</v>
      </c>
      <c r="E164">
        <v>10</v>
      </c>
      <c r="F164" t="s">
        <v>119</v>
      </c>
      <c r="G164" s="116">
        <v>20276136279</v>
      </c>
      <c r="I164" s="119">
        <f t="shared" si="5"/>
        <v>1</v>
      </c>
      <c r="J164" s="118">
        <f t="shared" si="4"/>
        <v>20276136279</v>
      </c>
    </row>
    <row r="165" spans="2:10">
      <c r="B165">
        <v>202206</v>
      </c>
      <c r="C165" t="s">
        <v>109</v>
      </c>
      <c r="D165" t="s">
        <v>90</v>
      </c>
      <c r="E165">
        <v>10</v>
      </c>
      <c r="F165" t="s">
        <v>118</v>
      </c>
      <c r="G165" s="116">
        <v>26298605</v>
      </c>
      <c r="I165" s="119">
        <f t="shared" si="5"/>
        <v>1</v>
      </c>
      <c r="J165" s="118">
        <f t="shared" si="4"/>
        <v>26298605</v>
      </c>
    </row>
    <row r="166" spans="2:10">
      <c r="B166">
        <v>202206</v>
      </c>
      <c r="C166" t="s">
        <v>109</v>
      </c>
      <c r="D166" t="s">
        <v>90</v>
      </c>
      <c r="E166">
        <v>30</v>
      </c>
      <c r="F166" t="s">
        <v>119</v>
      </c>
      <c r="G166" s="116">
        <v>105200</v>
      </c>
      <c r="I166" s="119">
        <f t="shared" si="5"/>
        <v>3</v>
      </c>
      <c r="J166" s="118">
        <f t="shared" si="4"/>
        <v>35066.666666666664</v>
      </c>
    </row>
    <row r="167" spans="2:10">
      <c r="B167">
        <v>202206</v>
      </c>
      <c r="C167" t="s">
        <v>109</v>
      </c>
      <c r="D167" t="s">
        <v>90</v>
      </c>
      <c r="E167">
        <v>90</v>
      </c>
      <c r="F167" t="s">
        <v>119</v>
      </c>
      <c r="G167" s="116">
        <v>1863155</v>
      </c>
      <c r="I167" s="119">
        <f t="shared" si="5"/>
        <v>12</v>
      </c>
      <c r="J167" s="118">
        <f t="shared" si="4"/>
        <v>155262.91666666666</v>
      </c>
    </row>
    <row r="168" spans="2:10">
      <c r="B168">
        <v>202206</v>
      </c>
      <c r="C168" t="s">
        <v>109</v>
      </c>
      <c r="D168" t="s">
        <v>90</v>
      </c>
      <c r="E168">
        <v>90</v>
      </c>
      <c r="F168" t="s">
        <v>118</v>
      </c>
      <c r="G168" s="116">
        <v>0</v>
      </c>
      <c r="I168" s="119">
        <f t="shared" si="5"/>
        <v>12</v>
      </c>
      <c r="J168" s="118">
        <f t="shared" si="4"/>
        <v>0</v>
      </c>
    </row>
    <row r="169" spans="2:10">
      <c r="B169">
        <v>202206</v>
      </c>
      <c r="C169" t="s">
        <v>91</v>
      </c>
      <c r="D169" t="s">
        <v>91</v>
      </c>
      <c r="E169">
        <v>10</v>
      </c>
      <c r="F169" t="s">
        <v>119</v>
      </c>
      <c r="G169" s="116">
        <v>2467516240</v>
      </c>
      <c r="I169" s="119">
        <f t="shared" si="5"/>
        <v>1</v>
      </c>
      <c r="J169" s="118">
        <f t="shared" si="4"/>
        <v>2467516240</v>
      </c>
    </row>
    <row r="170" spans="2:10">
      <c r="B170">
        <v>202206</v>
      </c>
      <c r="C170" t="s">
        <v>91</v>
      </c>
      <c r="D170" t="s">
        <v>91</v>
      </c>
      <c r="E170">
        <v>10</v>
      </c>
      <c r="F170" t="s">
        <v>118</v>
      </c>
      <c r="G170" s="116">
        <v>17514100</v>
      </c>
      <c r="I170" s="119">
        <f t="shared" si="5"/>
        <v>1</v>
      </c>
      <c r="J170" s="118">
        <f t="shared" si="4"/>
        <v>17514100</v>
      </c>
    </row>
    <row r="171" spans="2:10">
      <c r="B171">
        <v>202206</v>
      </c>
      <c r="C171" t="s">
        <v>91</v>
      </c>
      <c r="D171" t="s">
        <v>91</v>
      </c>
      <c r="E171">
        <v>30</v>
      </c>
      <c r="F171" t="s">
        <v>119</v>
      </c>
      <c r="G171" s="116">
        <v>530000</v>
      </c>
      <c r="I171" s="119">
        <f t="shared" si="5"/>
        <v>3</v>
      </c>
      <c r="J171" s="118">
        <f t="shared" si="4"/>
        <v>176666.66666666666</v>
      </c>
    </row>
    <row r="172" spans="2:10">
      <c r="B172">
        <v>202206</v>
      </c>
      <c r="C172" t="s">
        <v>91</v>
      </c>
      <c r="D172" t="s">
        <v>91</v>
      </c>
      <c r="E172">
        <v>90</v>
      </c>
      <c r="F172" t="s">
        <v>119</v>
      </c>
      <c r="G172" s="116">
        <v>2815808</v>
      </c>
      <c r="I172" s="119">
        <f t="shared" si="5"/>
        <v>12</v>
      </c>
      <c r="J172" s="118">
        <f t="shared" si="4"/>
        <v>234650.66666666666</v>
      </c>
    </row>
    <row r="173" spans="2:10">
      <c r="B173">
        <v>202206</v>
      </c>
      <c r="C173" t="s">
        <v>114</v>
      </c>
      <c r="D173" t="s">
        <v>93</v>
      </c>
      <c r="E173">
        <v>10</v>
      </c>
      <c r="F173" t="s">
        <v>119</v>
      </c>
      <c r="G173" s="116">
        <v>3438117499</v>
      </c>
      <c r="I173" s="119">
        <f t="shared" si="5"/>
        <v>1</v>
      </c>
      <c r="J173" s="118">
        <f t="shared" si="4"/>
        <v>3438117499</v>
      </c>
    </row>
    <row r="174" spans="2:10">
      <c r="B174">
        <v>202206</v>
      </c>
      <c r="C174" t="s">
        <v>114</v>
      </c>
      <c r="D174" t="s">
        <v>93</v>
      </c>
      <c r="E174">
        <v>10</v>
      </c>
      <c r="F174" t="s">
        <v>118</v>
      </c>
      <c r="G174" s="116">
        <v>25741300</v>
      </c>
      <c r="I174" s="119">
        <f t="shared" si="5"/>
        <v>1</v>
      </c>
      <c r="J174" s="118">
        <f t="shared" si="4"/>
        <v>25741300</v>
      </c>
    </row>
    <row r="175" spans="2:10">
      <c r="B175">
        <v>202206</v>
      </c>
      <c r="C175" t="s">
        <v>114</v>
      </c>
      <c r="D175" t="s">
        <v>93</v>
      </c>
      <c r="E175">
        <v>90</v>
      </c>
      <c r="F175" t="s">
        <v>119</v>
      </c>
      <c r="G175" s="116">
        <v>7900000</v>
      </c>
      <c r="I175" s="119">
        <f t="shared" si="5"/>
        <v>12</v>
      </c>
      <c r="J175" s="118">
        <f t="shared" si="4"/>
        <v>658333.33333333337</v>
      </c>
    </row>
    <row r="176" spans="2:10">
      <c r="B176">
        <v>202206</v>
      </c>
      <c r="C176" t="s">
        <v>114</v>
      </c>
      <c r="D176" t="s">
        <v>92</v>
      </c>
      <c r="E176">
        <v>0</v>
      </c>
      <c r="F176" t="s">
        <v>119</v>
      </c>
      <c r="G176" s="116">
        <v>1221</v>
      </c>
      <c r="I176" s="119" t="str">
        <f t="shared" si="5"/>
        <v>일시납</v>
      </c>
      <c r="J176" s="118">
        <f t="shared" si="4"/>
        <v>0</v>
      </c>
    </row>
    <row r="177" spans="2:10">
      <c r="B177">
        <v>202206</v>
      </c>
      <c r="C177" t="s">
        <v>114</v>
      </c>
      <c r="D177" t="s">
        <v>92</v>
      </c>
      <c r="E177">
        <v>0</v>
      </c>
      <c r="F177" t="s">
        <v>118</v>
      </c>
      <c r="G177" s="116">
        <v>0</v>
      </c>
      <c r="I177" s="119" t="str">
        <f t="shared" si="5"/>
        <v>일시납</v>
      </c>
      <c r="J177" s="118">
        <f t="shared" si="4"/>
        <v>0</v>
      </c>
    </row>
    <row r="178" spans="2:10">
      <c r="B178">
        <v>202206</v>
      </c>
      <c r="C178" t="s">
        <v>114</v>
      </c>
      <c r="D178" t="s">
        <v>92</v>
      </c>
      <c r="E178">
        <v>10</v>
      </c>
      <c r="F178" t="s">
        <v>119</v>
      </c>
      <c r="G178" s="116">
        <v>6636221466</v>
      </c>
      <c r="I178" s="119">
        <f t="shared" si="5"/>
        <v>1</v>
      </c>
      <c r="J178" s="118">
        <f t="shared" si="4"/>
        <v>6636221466</v>
      </c>
    </row>
    <row r="179" spans="2:10">
      <c r="B179">
        <v>202206</v>
      </c>
      <c r="C179" t="s">
        <v>114</v>
      </c>
      <c r="D179" t="s">
        <v>92</v>
      </c>
      <c r="E179">
        <v>10</v>
      </c>
      <c r="F179" t="s">
        <v>118</v>
      </c>
      <c r="G179" s="116">
        <v>-1187000</v>
      </c>
      <c r="I179" s="119">
        <f t="shared" si="5"/>
        <v>1</v>
      </c>
      <c r="J179" s="118">
        <f t="shared" si="4"/>
        <v>-1187000</v>
      </c>
    </row>
    <row r="180" spans="2:10">
      <c r="B180">
        <v>202206</v>
      </c>
      <c r="C180" t="s">
        <v>114</v>
      </c>
      <c r="D180" t="s">
        <v>92</v>
      </c>
      <c r="E180">
        <v>90</v>
      </c>
      <c r="F180" t="s">
        <v>119</v>
      </c>
      <c r="G180" s="116">
        <v>3500000</v>
      </c>
      <c r="I180" s="119">
        <f t="shared" si="5"/>
        <v>12</v>
      </c>
      <c r="J180" s="118">
        <f t="shared" si="4"/>
        <v>291666.66666666669</v>
      </c>
    </row>
    <row r="181" spans="2:10">
      <c r="B181">
        <v>202206</v>
      </c>
      <c r="C181" t="s">
        <v>114</v>
      </c>
      <c r="D181" t="s">
        <v>92</v>
      </c>
      <c r="E181">
        <v>90</v>
      </c>
      <c r="F181" t="s">
        <v>118</v>
      </c>
      <c r="G181" s="116">
        <v>0</v>
      </c>
      <c r="I181" s="119">
        <f t="shared" si="5"/>
        <v>12</v>
      </c>
      <c r="J181" s="118">
        <f t="shared" si="4"/>
        <v>0</v>
      </c>
    </row>
    <row r="182" spans="2:10">
      <c r="B182">
        <v>202207</v>
      </c>
      <c r="C182" t="s">
        <v>109</v>
      </c>
      <c r="D182" t="s">
        <v>89</v>
      </c>
      <c r="E182">
        <v>0</v>
      </c>
      <c r="F182" t="s">
        <v>118</v>
      </c>
      <c r="G182" s="116">
        <v>885513</v>
      </c>
      <c r="I182" s="119" t="str">
        <f t="shared" si="5"/>
        <v>일시납</v>
      </c>
      <c r="J182" s="118">
        <f t="shared" si="4"/>
        <v>0</v>
      </c>
    </row>
    <row r="183" spans="2:10">
      <c r="B183">
        <v>202207</v>
      </c>
      <c r="C183" t="s">
        <v>109</v>
      </c>
      <c r="D183" t="s">
        <v>89</v>
      </c>
      <c r="E183">
        <v>10</v>
      </c>
      <c r="F183" t="s">
        <v>119</v>
      </c>
      <c r="G183" s="116">
        <v>118575058851</v>
      </c>
      <c r="I183" s="119">
        <f t="shared" si="5"/>
        <v>1</v>
      </c>
      <c r="J183" s="118">
        <f t="shared" si="4"/>
        <v>118575058851</v>
      </c>
    </row>
    <row r="184" spans="2:10">
      <c r="B184">
        <v>202207</v>
      </c>
      <c r="C184" t="s">
        <v>109</v>
      </c>
      <c r="D184" t="s">
        <v>89</v>
      </c>
      <c r="E184">
        <v>10</v>
      </c>
      <c r="F184" t="s">
        <v>118</v>
      </c>
      <c r="G184" s="116">
        <v>2036413029</v>
      </c>
      <c r="I184" s="119">
        <f t="shared" si="5"/>
        <v>1</v>
      </c>
      <c r="J184" s="118">
        <f t="shared" si="4"/>
        <v>2036413029</v>
      </c>
    </row>
    <row r="185" spans="2:10">
      <c r="B185">
        <v>202207</v>
      </c>
      <c r="C185" t="s">
        <v>109</v>
      </c>
      <c r="D185" t="s">
        <v>89</v>
      </c>
      <c r="E185">
        <v>20</v>
      </c>
      <c r="F185" t="s">
        <v>119</v>
      </c>
      <c r="G185" s="116">
        <v>102980</v>
      </c>
      <c r="I185" s="119">
        <f t="shared" si="5"/>
        <v>2</v>
      </c>
      <c r="J185" s="118">
        <f t="shared" si="4"/>
        <v>51490</v>
      </c>
    </row>
    <row r="186" spans="2:10">
      <c r="B186">
        <v>202207</v>
      </c>
      <c r="C186" t="s">
        <v>109</v>
      </c>
      <c r="D186" t="s">
        <v>89</v>
      </c>
      <c r="E186">
        <v>30</v>
      </c>
      <c r="F186" t="s">
        <v>119</v>
      </c>
      <c r="G186" s="116">
        <v>957370</v>
      </c>
      <c r="I186" s="119">
        <f t="shared" si="5"/>
        <v>3</v>
      </c>
      <c r="J186" s="118">
        <f t="shared" si="4"/>
        <v>319123.33333333331</v>
      </c>
    </row>
    <row r="187" spans="2:10">
      <c r="B187">
        <v>202207</v>
      </c>
      <c r="C187" t="s">
        <v>109</v>
      </c>
      <c r="D187" t="s">
        <v>89</v>
      </c>
      <c r="E187">
        <v>60</v>
      </c>
      <c r="F187" t="s">
        <v>119</v>
      </c>
      <c r="G187" s="116">
        <v>760757</v>
      </c>
      <c r="I187" s="119">
        <f t="shared" si="5"/>
        <v>6</v>
      </c>
      <c r="J187" s="118">
        <f t="shared" si="4"/>
        <v>126792.83333333333</v>
      </c>
    </row>
    <row r="188" spans="2:10">
      <c r="B188">
        <v>202207</v>
      </c>
      <c r="C188" t="s">
        <v>109</v>
      </c>
      <c r="D188" t="s">
        <v>89</v>
      </c>
      <c r="E188">
        <v>90</v>
      </c>
      <c r="F188" t="s">
        <v>119</v>
      </c>
      <c r="G188" s="116">
        <v>13147599</v>
      </c>
      <c r="I188" s="119">
        <f t="shared" si="5"/>
        <v>12</v>
      </c>
      <c r="J188" s="118">
        <f t="shared" si="4"/>
        <v>1095633.25</v>
      </c>
    </row>
    <row r="189" spans="2:10">
      <c r="B189">
        <v>202207</v>
      </c>
      <c r="C189" t="s">
        <v>109</v>
      </c>
      <c r="D189" t="s">
        <v>89</v>
      </c>
      <c r="E189">
        <v>90</v>
      </c>
      <c r="F189" t="s">
        <v>118</v>
      </c>
      <c r="G189" s="116">
        <v>2412000</v>
      </c>
      <c r="I189" s="119">
        <f t="shared" si="5"/>
        <v>12</v>
      </c>
      <c r="J189" s="118">
        <f t="shared" si="4"/>
        <v>201000</v>
      </c>
    </row>
    <row r="190" spans="2:10">
      <c r="B190">
        <v>202207</v>
      </c>
      <c r="C190" t="s">
        <v>109</v>
      </c>
      <c r="D190" t="s">
        <v>15</v>
      </c>
      <c r="E190">
        <v>10</v>
      </c>
      <c r="F190" t="s">
        <v>119</v>
      </c>
      <c r="G190" s="116">
        <v>12031976408</v>
      </c>
      <c r="I190" s="119">
        <f t="shared" si="5"/>
        <v>1</v>
      </c>
      <c r="J190" s="118">
        <f t="shared" si="4"/>
        <v>12031976408</v>
      </c>
    </row>
    <row r="191" spans="2:10">
      <c r="B191">
        <v>202207</v>
      </c>
      <c r="C191" t="s">
        <v>109</v>
      </c>
      <c r="D191" t="s">
        <v>15</v>
      </c>
      <c r="E191">
        <v>10</v>
      </c>
      <c r="F191" t="s">
        <v>118</v>
      </c>
      <c r="G191" s="116">
        <v>538638578</v>
      </c>
      <c r="I191" s="119">
        <f t="shared" si="5"/>
        <v>1</v>
      </c>
      <c r="J191" s="118">
        <f t="shared" si="4"/>
        <v>538638578</v>
      </c>
    </row>
    <row r="192" spans="2:10">
      <c r="B192">
        <v>202207</v>
      </c>
      <c r="C192" t="s">
        <v>109</v>
      </c>
      <c r="D192" t="s">
        <v>15</v>
      </c>
      <c r="E192">
        <v>30</v>
      </c>
      <c r="F192" t="s">
        <v>119</v>
      </c>
      <c r="G192" s="116">
        <v>1670210</v>
      </c>
      <c r="I192" s="119">
        <f t="shared" si="5"/>
        <v>3</v>
      </c>
      <c r="J192" s="118">
        <f t="shared" si="4"/>
        <v>556736.66666666663</v>
      </c>
    </row>
    <row r="193" spans="2:10">
      <c r="B193">
        <v>202207</v>
      </c>
      <c r="C193" t="s">
        <v>109</v>
      </c>
      <c r="D193" t="s">
        <v>15</v>
      </c>
      <c r="E193">
        <v>90</v>
      </c>
      <c r="F193" t="s">
        <v>119</v>
      </c>
      <c r="G193" s="116">
        <v>2614595</v>
      </c>
      <c r="I193" s="119">
        <f t="shared" si="5"/>
        <v>12</v>
      </c>
      <c r="J193" s="118">
        <f t="shared" si="4"/>
        <v>217882.91666666666</v>
      </c>
    </row>
    <row r="194" spans="2:10">
      <c r="B194">
        <v>202207</v>
      </c>
      <c r="C194" t="s">
        <v>109</v>
      </c>
      <c r="D194" t="s">
        <v>15</v>
      </c>
      <c r="E194">
        <v>90</v>
      </c>
      <c r="F194" t="s">
        <v>118</v>
      </c>
      <c r="G194" s="116">
        <v>864400</v>
      </c>
      <c r="I194" s="119">
        <f t="shared" si="5"/>
        <v>12</v>
      </c>
      <c r="J194" s="118">
        <f t="shared" si="4"/>
        <v>72033.333333333328</v>
      </c>
    </row>
    <row r="195" spans="2:10">
      <c r="B195">
        <v>202207</v>
      </c>
      <c r="C195" t="s">
        <v>109</v>
      </c>
      <c r="D195" t="s">
        <v>90</v>
      </c>
      <c r="E195">
        <v>10</v>
      </c>
      <c r="F195" t="s">
        <v>119</v>
      </c>
      <c r="G195" s="116">
        <v>20255156229</v>
      </c>
      <c r="I195" s="119">
        <f t="shared" si="5"/>
        <v>1</v>
      </c>
      <c r="J195" s="118">
        <f t="shared" ref="J195:J258" si="6">+IF(E195=0,0,G195/I195)</f>
        <v>20255156229</v>
      </c>
    </row>
    <row r="196" spans="2:10">
      <c r="B196">
        <v>202207</v>
      </c>
      <c r="C196" t="s">
        <v>109</v>
      </c>
      <c r="D196" t="s">
        <v>90</v>
      </c>
      <c r="E196">
        <v>10</v>
      </c>
      <c r="F196" t="s">
        <v>118</v>
      </c>
      <c r="G196" s="116">
        <v>22469482</v>
      </c>
      <c r="I196" s="119">
        <f t="shared" ref="I196:I259" si="7">+VLOOKUP($E196,$N$2:$P$7,3,0)</f>
        <v>1</v>
      </c>
      <c r="J196" s="118">
        <f t="shared" si="6"/>
        <v>22469482</v>
      </c>
    </row>
    <row r="197" spans="2:10">
      <c r="B197">
        <v>202207</v>
      </c>
      <c r="C197" t="s">
        <v>109</v>
      </c>
      <c r="D197" t="s">
        <v>90</v>
      </c>
      <c r="E197">
        <v>30</v>
      </c>
      <c r="F197" t="s">
        <v>119</v>
      </c>
      <c r="G197" s="116">
        <v>133551</v>
      </c>
      <c r="I197" s="119">
        <f t="shared" si="7"/>
        <v>3</v>
      </c>
      <c r="J197" s="118">
        <f t="shared" si="6"/>
        <v>44517</v>
      </c>
    </row>
    <row r="198" spans="2:10">
      <c r="B198">
        <v>202207</v>
      </c>
      <c r="C198" t="s">
        <v>109</v>
      </c>
      <c r="D198" t="s">
        <v>90</v>
      </c>
      <c r="E198">
        <v>90</v>
      </c>
      <c r="F198" t="s">
        <v>119</v>
      </c>
      <c r="G198" s="116">
        <v>2044980</v>
      </c>
      <c r="I198" s="119">
        <f t="shared" si="7"/>
        <v>12</v>
      </c>
      <c r="J198" s="118">
        <f t="shared" si="6"/>
        <v>170415</v>
      </c>
    </row>
    <row r="199" spans="2:10">
      <c r="B199">
        <v>202207</v>
      </c>
      <c r="C199" t="s">
        <v>91</v>
      </c>
      <c r="D199" t="s">
        <v>91</v>
      </c>
      <c r="E199">
        <v>10</v>
      </c>
      <c r="F199" t="s">
        <v>119</v>
      </c>
      <c r="G199" s="116">
        <v>2445206093</v>
      </c>
      <c r="I199" s="119">
        <f t="shared" si="7"/>
        <v>1</v>
      </c>
      <c r="J199" s="118">
        <f t="shared" si="6"/>
        <v>2445206093</v>
      </c>
    </row>
    <row r="200" spans="2:10">
      <c r="B200">
        <v>202207</v>
      </c>
      <c r="C200" t="s">
        <v>91</v>
      </c>
      <c r="D200" t="s">
        <v>91</v>
      </c>
      <c r="E200">
        <v>10</v>
      </c>
      <c r="F200" t="s">
        <v>118</v>
      </c>
      <c r="G200" s="116">
        <v>20996716</v>
      </c>
      <c r="I200" s="119">
        <f t="shared" si="7"/>
        <v>1</v>
      </c>
      <c r="J200" s="118">
        <f t="shared" si="6"/>
        <v>20996716</v>
      </c>
    </row>
    <row r="201" spans="2:10">
      <c r="B201">
        <v>202207</v>
      </c>
      <c r="C201" t="s">
        <v>91</v>
      </c>
      <c r="D201" t="s">
        <v>91</v>
      </c>
      <c r="E201">
        <v>30</v>
      </c>
      <c r="F201" t="s">
        <v>119</v>
      </c>
      <c r="G201" s="116">
        <v>630000</v>
      </c>
      <c r="I201" s="119">
        <f t="shared" si="7"/>
        <v>3</v>
      </c>
      <c r="J201" s="118">
        <f t="shared" si="6"/>
        <v>210000</v>
      </c>
    </row>
    <row r="202" spans="2:10">
      <c r="B202">
        <v>202207</v>
      </c>
      <c r="C202" t="s">
        <v>91</v>
      </c>
      <c r="D202" t="s">
        <v>91</v>
      </c>
      <c r="E202">
        <v>90</v>
      </c>
      <c r="F202" t="s">
        <v>119</v>
      </c>
      <c r="G202" s="116">
        <v>600000</v>
      </c>
      <c r="I202" s="119">
        <f t="shared" si="7"/>
        <v>12</v>
      </c>
      <c r="J202" s="118">
        <f t="shared" si="6"/>
        <v>50000</v>
      </c>
    </row>
    <row r="203" spans="2:10">
      <c r="B203">
        <v>202207</v>
      </c>
      <c r="C203" t="s">
        <v>114</v>
      </c>
      <c r="D203" t="s">
        <v>93</v>
      </c>
      <c r="E203">
        <v>10</v>
      </c>
      <c r="F203" t="s">
        <v>119</v>
      </c>
      <c r="G203" s="116">
        <v>3432121885</v>
      </c>
      <c r="I203" s="119">
        <f t="shared" si="7"/>
        <v>1</v>
      </c>
      <c r="J203" s="118">
        <f t="shared" si="6"/>
        <v>3432121885</v>
      </c>
    </row>
    <row r="204" spans="2:10">
      <c r="B204">
        <v>202207</v>
      </c>
      <c r="C204" t="s">
        <v>114</v>
      </c>
      <c r="D204" t="s">
        <v>93</v>
      </c>
      <c r="E204">
        <v>10</v>
      </c>
      <c r="F204" t="s">
        <v>118</v>
      </c>
      <c r="G204" s="116">
        <v>23785300</v>
      </c>
      <c r="I204" s="119">
        <f t="shared" si="7"/>
        <v>1</v>
      </c>
      <c r="J204" s="118">
        <f t="shared" si="6"/>
        <v>23785300</v>
      </c>
    </row>
    <row r="205" spans="2:10">
      <c r="B205">
        <v>202207</v>
      </c>
      <c r="C205" t="s">
        <v>114</v>
      </c>
      <c r="D205" t="s">
        <v>93</v>
      </c>
      <c r="E205">
        <v>30</v>
      </c>
      <c r="F205" t="s">
        <v>119</v>
      </c>
      <c r="G205" s="116">
        <v>900000</v>
      </c>
      <c r="I205" s="119">
        <f t="shared" si="7"/>
        <v>3</v>
      </c>
      <c r="J205" s="118">
        <f t="shared" si="6"/>
        <v>300000</v>
      </c>
    </row>
    <row r="206" spans="2:10">
      <c r="B206">
        <v>202207</v>
      </c>
      <c r="C206" t="s">
        <v>114</v>
      </c>
      <c r="D206" t="s">
        <v>93</v>
      </c>
      <c r="E206">
        <v>90</v>
      </c>
      <c r="F206" t="s">
        <v>119</v>
      </c>
      <c r="G206" s="116">
        <v>4200000</v>
      </c>
      <c r="I206" s="119">
        <f t="shared" si="7"/>
        <v>12</v>
      </c>
      <c r="J206" s="118">
        <f t="shared" si="6"/>
        <v>350000</v>
      </c>
    </row>
    <row r="207" spans="2:10">
      <c r="B207">
        <v>202207</v>
      </c>
      <c r="C207" t="s">
        <v>114</v>
      </c>
      <c r="D207" t="s">
        <v>92</v>
      </c>
      <c r="E207">
        <v>0</v>
      </c>
      <c r="F207" t="s">
        <v>119</v>
      </c>
      <c r="G207" s="116">
        <v>0</v>
      </c>
      <c r="I207" s="119" t="str">
        <f t="shared" si="7"/>
        <v>일시납</v>
      </c>
      <c r="J207" s="118">
        <f t="shared" si="6"/>
        <v>0</v>
      </c>
    </row>
    <row r="208" spans="2:10">
      <c r="B208">
        <v>202207</v>
      </c>
      <c r="C208" t="s">
        <v>114</v>
      </c>
      <c r="D208" t="s">
        <v>92</v>
      </c>
      <c r="E208">
        <v>0</v>
      </c>
      <c r="F208" t="s">
        <v>118</v>
      </c>
      <c r="G208" s="116">
        <v>0</v>
      </c>
      <c r="I208" s="119" t="str">
        <f t="shared" si="7"/>
        <v>일시납</v>
      </c>
      <c r="J208" s="118">
        <f t="shared" si="6"/>
        <v>0</v>
      </c>
    </row>
    <row r="209" spans="2:10">
      <c r="B209">
        <v>202207</v>
      </c>
      <c r="C209" t="s">
        <v>114</v>
      </c>
      <c r="D209" t="s">
        <v>92</v>
      </c>
      <c r="E209">
        <v>10</v>
      </c>
      <c r="F209" t="s">
        <v>119</v>
      </c>
      <c r="G209" s="116">
        <v>6409296080</v>
      </c>
      <c r="I209" s="119">
        <f t="shared" si="7"/>
        <v>1</v>
      </c>
      <c r="J209" s="118">
        <f t="shared" si="6"/>
        <v>6409296080</v>
      </c>
    </row>
    <row r="210" spans="2:10">
      <c r="B210">
        <v>202207</v>
      </c>
      <c r="C210" t="s">
        <v>114</v>
      </c>
      <c r="D210" t="s">
        <v>92</v>
      </c>
      <c r="E210">
        <v>90</v>
      </c>
      <c r="F210" t="s">
        <v>119</v>
      </c>
      <c r="G210" s="116">
        <v>0</v>
      </c>
      <c r="I210" s="119">
        <f t="shared" si="7"/>
        <v>12</v>
      </c>
      <c r="J210" s="118">
        <f t="shared" si="6"/>
        <v>0</v>
      </c>
    </row>
    <row r="211" spans="2:10">
      <c r="B211">
        <v>202208</v>
      </c>
      <c r="C211" t="s">
        <v>109</v>
      </c>
      <c r="D211" t="s">
        <v>89</v>
      </c>
      <c r="E211">
        <v>0</v>
      </c>
      <c r="F211" t="s">
        <v>118</v>
      </c>
      <c r="G211" s="116">
        <v>462300</v>
      </c>
      <c r="I211" s="119" t="str">
        <f t="shared" si="7"/>
        <v>일시납</v>
      </c>
      <c r="J211" s="118">
        <f t="shared" si="6"/>
        <v>0</v>
      </c>
    </row>
    <row r="212" spans="2:10">
      <c r="B212">
        <v>202208</v>
      </c>
      <c r="C212" t="s">
        <v>109</v>
      </c>
      <c r="D212" t="s">
        <v>89</v>
      </c>
      <c r="E212">
        <v>10</v>
      </c>
      <c r="F212" t="s">
        <v>119</v>
      </c>
      <c r="G212" s="116">
        <v>119295225410</v>
      </c>
      <c r="I212" s="119">
        <f t="shared" si="7"/>
        <v>1</v>
      </c>
      <c r="J212" s="118">
        <f t="shared" si="6"/>
        <v>119295225410</v>
      </c>
    </row>
    <row r="213" spans="2:10">
      <c r="B213">
        <v>202208</v>
      </c>
      <c r="C213" t="s">
        <v>109</v>
      </c>
      <c r="D213" t="s">
        <v>89</v>
      </c>
      <c r="E213">
        <v>10</v>
      </c>
      <c r="F213" t="s">
        <v>118</v>
      </c>
      <c r="G213" s="116">
        <v>2016642822</v>
      </c>
      <c r="I213" s="119">
        <f t="shared" si="7"/>
        <v>1</v>
      </c>
      <c r="J213" s="118">
        <f t="shared" si="6"/>
        <v>2016642822</v>
      </c>
    </row>
    <row r="214" spans="2:10">
      <c r="B214">
        <v>202208</v>
      </c>
      <c r="C214" t="s">
        <v>109</v>
      </c>
      <c r="D214" t="s">
        <v>89</v>
      </c>
      <c r="E214">
        <v>30</v>
      </c>
      <c r="F214" t="s">
        <v>119</v>
      </c>
      <c r="G214" s="116">
        <v>1541637</v>
      </c>
      <c r="I214" s="119">
        <f t="shared" si="7"/>
        <v>3</v>
      </c>
      <c r="J214" s="118">
        <f t="shared" si="6"/>
        <v>513879</v>
      </c>
    </row>
    <row r="215" spans="2:10">
      <c r="B215">
        <v>202208</v>
      </c>
      <c r="C215" t="s">
        <v>109</v>
      </c>
      <c r="D215" t="s">
        <v>89</v>
      </c>
      <c r="E215">
        <v>60</v>
      </c>
      <c r="F215" t="s">
        <v>119</v>
      </c>
      <c r="G215" s="116">
        <v>1784743</v>
      </c>
      <c r="I215" s="119">
        <f t="shared" si="7"/>
        <v>6</v>
      </c>
      <c r="J215" s="118">
        <f t="shared" si="6"/>
        <v>297457.16666666669</v>
      </c>
    </row>
    <row r="216" spans="2:10">
      <c r="B216">
        <v>202208</v>
      </c>
      <c r="C216" t="s">
        <v>109</v>
      </c>
      <c r="D216" t="s">
        <v>89</v>
      </c>
      <c r="E216">
        <v>90</v>
      </c>
      <c r="F216" t="s">
        <v>119</v>
      </c>
      <c r="G216" s="116">
        <v>35009630</v>
      </c>
      <c r="I216" s="119">
        <f t="shared" si="7"/>
        <v>12</v>
      </c>
      <c r="J216" s="118">
        <f t="shared" si="6"/>
        <v>2917469.1666666665</v>
      </c>
    </row>
    <row r="217" spans="2:10">
      <c r="B217">
        <v>202208</v>
      </c>
      <c r="C217" t="s">
        <v>109</v>
      </c>
      <c r="D217" t="s">
        <v>89</v>
      </c>
      <c r="E217">
        <v>90</v>
      </c>
      <c r="F217" t="s">
        <v>118</v>
      </c>
      <c r="G217" s="116">
        <v>0</v>
      </c>
      <c r="I217" s="119">
        <f t="shared" si="7"/>
        <v>12</v>
      </c>
      <c r="J217" s="118">
        <f t="shared" si="6"/>
        <v>0</v>
      </c>
    </row>
    <row r="218" spans="2:10">
      <c r="B218">
        <v>202208</v>
      </c>
      <c r="C218" t="s">
        <v>109</v>
      </c>
      <c r="D218" t="s">
        <v>15</v>
      </c>
      <c r="E218">
        <v>10</v>
      </c>
      <c r="F218" t="s">
        <v>119</v>
      </c>
      <c r="G218" s="116">
        <v>12351407153</v>
      </c>
      <c r="I218" s="119">
        <f t="shared" si="7"/>
        <v>1</v>
      </c>
      <c r="J218" s="118">
        <f t="shared" si="6"/>
        <v>12351407153</v>
      </c>
    </row>
    <row r="219" spans="2:10">
      <c r="B219">
        <v>202208</v>
      </c>
      <c r="C219" t="s">
        <v>109</v>
      </c>
      <c r="D219" t="s">
        <v>15</v>
      </c>
      <c r="E219">
        <v>10</v>
      </c>
      <c r="F219" t="s">
        <v>118</v>
      </c>
      <c r="G219" s="116">
        <v>566970094</v>
      </c>
      <c r="I219" s="119">
        <f t="shared" si="7"/>
        <v>1</v>
      </c>
      <c r="J219" s="118">
        <f t="shared" si="6"/>
        <v>566970094</v>
      </c>
    </row>
    <row r="220" spans="2:10">
      <c r="B220">
        <v>202208</v>
      </c>
      <c r="C220" t="s">
        <v>109</v>
      </c>
      <c r="D220" t="s">
        <v>15</v>
      </c>
      <c r="E220">
        <v>90</v>
      </c>
      <c r="F220" t="s">
        <v>119</v>
      </c>
      <c r="G220" s="116">
        <v>1676519</v>
      </c>
      <c r="I220" s="119">
        <f t="shared" si="7"/>
        <v>12</v>
      </c>
      <c r="J220" s="118">
        <f t="shared" si="6"/>
        <v>139709.91666666666</v>
      </c>
    </row>
    <row r="221" spans="2:10">
      <c r="B221">
        <v>202208</v>
      </c>
      <c r="C221" t="s">
        <v>109</v>
      </c>
      <c r="D221" t="s">
        <v>15</v>
      </c>
      <c r="E221">
        <v>90</v>
      </c>
      <c r="F221" t="s">
        <v>118</v>
      </c>
      <c r="G221" s="116">
        <v>1131243</v>
      </c>
      <c r="I221" s="119">
        <f t="shared" si="7"/>
        <v>12</v>
      </c>
      <c r="J221" s="118">
        <f t="shared" si="6"/>
        <v>94270.25</v>
      </c>
    </row>
    <row r="222" spans="2:10">
      <c r="B222">
        <v>202208</v>
      </c>
      <c r="C222" t="s">
        <v>109</v>
      </c>
      <c r="D222" t="s">
        <v>90</v>
      </c>
      <c r="E222">
        <v>10</v>
      </c>
      <c r="F222" t="s">
        <v>119</v>
      </c>
      <c r="G222" s="116">
        <v>20100169634</v>
      </c>
      <c r="I222" s="119">
        <f t="shared" si="7"/>
        <v>1</v>
      </c>
      <c r="J222" s="118">
        <f t="shared" si="6"/>
        <v>20100169634</v>
      </c>
    </row>
    <row r="223" spans="2:10">
      <c r="B223">
        <v>202208</v>
      </c>
      <c r="C223" t="s">
        <v>109</v>
      </c>
      <c r="D223" t="s">
        <v>90</v>
      </c>
      <c r="E223">
        <v>10</v>
      </c>
      <c r="F223" t="s">
        <v>118</v>
      </c>
      <c r="G223" s="116">
        <v>22311463</v>
      </c>
      <c r="I223" s="119">
        <f t="shared" si="7"/>
        <v>1</v>
      </c>
      <c r="J223" s="118">
        <f t="shared" si="6"/>
        <v>22311463</v>
      </c>
    </row>
    <row r="224" spans="2:10">
      <c r="B224">
        <v>202208</v>
      </c>
      <c r="C224" t="s">
        <v>109</v>
      </c>
      <c r="D224" t="s">
        <v>90</v>
      </c>
      <c r="E224">
        <v>30</v>
      </c>
      <c r="F224" t="s">
        <v>119</v>
      </c>
      <c r="G224" s="116">
        <v>300000</v>
      </c>
      <c r="I224" s="119">
        <f t="shared" si="7"/>
        <v>3</v>
      </c>
      <c r="J224" s="118">
        <f t="shared" si="6"/>
        <v>100000</v>
      </c>
    </row>
    <row r="225" spans="2:10">
      <c r="B225">
        <v>202208</v>
      </c>
      <c r="C225" t="s">
        <v>109</v>
      </c>
      <c r="D225" t="s">
        <v>90</v>
      </c>
      <c r="E225">
        <v>90</v>
      </c>
      <c r="F225" t="s">
        <v>119</v>
      </c>
      <c r="G225" s="116">
        <v>4610000</v>
      </c>
      <c r="I225" s="119">
        <f t="shared" si="7"/>
        <v>12</v>
      </c>
      <c r="J225" s="118">
        <f t="shared" si="6"/>
        <v>384166.66666666669</v>
      </c>
    </row>
    <row r="226" spans="2:10">
      <c r="B226">
        <v>202208</v>
      </c>
      <c r="C226" t="s">
        <v>91</v>
      </c>
      <c r="D226" t="s">
        <v>91</v>
      </c>
      <c r="E226">
        <v>10</v>
      </c>
      <c r="F226" t="s">
        <v>119</v>
      </c>
      <c r="G226" s="116">
        <v>2376076417</v>
      </c>
      <c r="I226" s="119">
        <f t="shared" si="7"/>
        <v>1</v>
      </c>
      <c r="J226" s="118">
        <f t="shared" si="6"/>
        <v>2376076417</v>
      </c>
    </row>
    <row r="227" spans="2:10">
      <c r="B227">
        <v>202208</v>
      </c>
      <c r="C227" t="s">
        <v>91</v>
      </c>
      <c r="D227" t="s">
        <v>91</v>
      </c>
      <c r="E227">
        <v>10</v>
      </c>
      <c r="F227" t="s">
        <v>118</v>
      </c>
      <c r="G227" s="116">
        <v>15625521</v>
      </c>
      <c r="I227" s="119">
        <f t="shared" si="7"/>
        <v>1</v>
      </c>
      <c r="J227" s="118">
        <f t="shared" si="6"/>
        <v>15625521</v>
      </c>
    </row>
    <row r="228" spans="2:10">
      <c r="B228">
        <v>202208</v>
      </c>
      <c r="C228" t="s">
        <v>91</v>
      </c>
      <c r="D228" t="s">
        <v>91</v>
      </c>
      <c r="E228">
        <v>30</v>
      </c>
      <c r="F228" t="s">
        <v>119</v>
      </c>
      <c r="G228" s="116">
        <v>2000000</v>
      </c>
      <c r="I228" s="119">
        <f t="shared" si="7"/>
        <v>3</v>
      </c>
      <c r="J228" s="118">
        <f t="shared" si="6"/>
        <v>666666.66666666663</v>
      </c>
    </row>
    <row r="229" spans="2:10">
      <c r="B229">
        <v>202208</v>
      </c>
      <c r="C229" t="s">
        <v>91</v>
      </c>
      <c r="D229" t="s">
        <v>91</v>
      </c>
      <c r="E229">
        <v>90</v>
      </c>
      <c r="F229" t="s">
        <v>119</v>
      </c>
      <c r="G229" s="116">
        <v>3168000</v>
      </c>
      <c r="I229" s="119">
        <f t="shared" si="7"/>
        <v>12</v>
      </c>
      <c r="J229" s="118">
        <f t="shared" si="6"/>
        <v>264000</v>
      </c>
    </row>
    <row r="230" spans="2:10">
      <c r="B230">
        <v>202208</v>
      </c>
      <c r="C230" t="s">
        <v>91</v>
      </c>
      <c r="D230" t="s">
        <v>91</v>
      </c>
      <c r="E230">
        <v>90</v>
      </c>
      <c r="F230" t="s">
        <v>118</v>
      </c>
      <c r="G230" s="116">
        <v>120000</v>
      </c>
      <c r="I230" s="119">
        <f t="shared" si="7"/>
        <v>12</v>
      </c>
      <c r="J230" s="118">
        <f t="shared" si="6"/>
        <v>10000</v>
      </c>
    </row>
    <row r="231" spans="2:10">
      <c r="B231">
        <v>202208</v>
      </c>
      <c r="C231" t="s">
        <v>114</v>
      </c>
      <c r="D231" t="s">
        <v>93</v>
      </c>
      <c r="E231">
        <v>10</v>
      </c>
      <c r="F231" t="s">
        <v>119</v>
      </c>
      <c r="G231" s="116">
        <v>3412250666</v>
      </c>
      <c r="I231" s="119">
        <f t="shared" si="7"/>
        <v>1</v>
      </c>
      <c r="J231" s="118">
        <f t="shared" si="6"/>
        <v>3412250666</v>
      </c>
    </row>
    <row r="232" spans="2:10">
      <c r="B232">
        <v>202208</v>
      </c>
      <c r="C232" t="s">
        <v>114</v>
      </c>
      <c r="D232" t="s">
        <v>93</v>
      </c>
      <c r="E232">
        <v>10</v>
      </c>
      <c r="F232" t="s">
        <v>118</v>
      </c>
      <c r="G232" s="116">
        <v>29248400</v>
      </c>
      <c r="I232" s="119">
        <f t="shared" si="7"/>
        <v>1</v>
      </c>
      <c r="J232" s="118">
        <f t="shared" si="6"/>
        <v>29248400</v>
      </c>
    </row>
    <row r="233" spans="2:10">
      <c r="B233">
        <v>202208</v>
      </c>
      <c r="C233" t="s">
        <v>114</v>
      </c>
      <c r="D233" t="s">
        <v>93</v>
      </c>
      <c r="E233">
        <v>90</v>
      </c>
      <c r="F233" t="s">
        <v>119</v>
      </c>
      <c r="G233" s="116">
        <v>4080000</v>
      </c>
      <c r="I233" s="119">
        <f t="shared" si="7"/>
        <v>12</v>
      </c>
      <c r="J233" s="118">
        <f t="shared" si="6"/>
        <v>340000</v>
      </c>
    </row>
    <row r="234" spans="2:10">
      <c r="B234">
        <v>202208</v>
      </c>
      <c r="C234" t="s">
        <v>114</v>
      </c>
      <c r="D234" t="s">
        <v>92</v>
      </c>
      <c r="E234">
        <v>0</v>
      </c>
      <c r="F234" t="s">
        <v>119</v>
      </c>
      <c r="G234" s="116">
        <v>0</v>
      </c>
      <c r="I234" s="119" t="str">
        <f t="shared" si="7"/>
        <v>일시납</v>
      </c>
      <c r="J234" s="118">
        <f t="shared" si="6"/>
        <v>0</v>
      </c>
    </row>
    <row r="235" spans="2:10">
      <c r="B235">
        <v>202208</v>
      </c>
      <c r="C235" t="s">
        <v>114</v>
      </c>
      <c r="D235" t="s">
        <v>92</v>
      </c>
      <c r="E235">
        <v>0</v>
      </c>
      <c r="F235" t="s">
        <v>118</v>
      </c>
      <c r="G235" s="116">
        <v>0</v>
      </c>
      <c r="I235" s="119" t="str">
        <f t="shared" si="7"/>
        <v>일시납</v>
      </c>
      <c r="J235" s="118">
        <f t="shared" si="6"/>
        <v>0</v>
      </c>
    </row>
    <row r="236" spans="2:10">
      <c r="B236">
        <v>202208</v>
      </c>
      <c r="C236" t="s">
        <v>114</v>
      </c>
      <c r="D236" t="s">
        <v>92</v>
      </c>
      <c r="E236">
        <v>10</v>
      </c>
      <c r="F236" t="s">
        <v>119</v>
      </c>
      <c r="G236" s="116">
        <v>5929513255</v>
      </c>
      <c r="I236" s="119">
        <f t="shared" si="7"/>
        <v>1</v>
      </c>
      <c r="J236" s="118">
        <f t="shared" si="6"/>
        <v>5929513255</v>
      </c>
    </row>
    <row r="237" spans="2:10">
      <c r="B237">
        <v>202208</v>
      </c>
      <c r="C237" t="s">
        <v>114</v>
      </c>
      <c r="D237" t="s">
        <v>92</v>
      </c>
      <c r="E237">
        <v>10</v>
      </c>
      <c r="F237" t="s">
        <v>118</v>
      </c>
      <c r="G237" s="116">
        <v>-1000000</v>
      </c>
      <c r="I237" s="119">
        <f t="shared" si="7"/>
        <v>1</v>
      </c>
      <c r="J237" s="118">
        <f t="shared" si="6"/>
        <v>-1000000</v>
      </c>
    </row>
    <row r="238" spans="2:10">
      <c r="B238">
        <v>202208</v>
      </c>
      <c r="C238" t="s">
        <v>114</v>
      </c>
      <c r="D238" t="s">
        <v>92</v>
      </c>
      <c r="E238">
        <v>90</v>
      </c>
      <c r="F238" t="s">
        <v>119</v>
      </c>
      <c r="G238" s="116">
        <v>300000</v>
      </c>
      <c r="I238" s="119">
        <f t="shared" si="7"/>
        <v>12</v>
      </c>
      <c r="J238" s="118">
        <f t="shared" si="6"/>
        <v>25000</v>
      </c>
    </row>
    <row r="239" spans="2:10">
      <c r="B239">
        <v>202208</v>
      </c>
      <c r="C239" t="s">
        <v>114</v>
      </c>
      <c r="D239" t="s">
        <v>92</v>
      </c>
      <c r="E239">
        <v>90</v>
      </c>
      <c r="F239" t="s">
        <v>118</v>
      </c>
      <c r="G239" s="116">
        <v>0</v>
      </c>
      <c r="I239" s="119">
        <f t="shared" si="7"/>
        <v>12</v>
      </c>
      <c r="J239" s="118">
        <f t="shared" si="6"/>
        <v>0</v>
      </c>
    </row>
    <row r="240" spans="2:10">
      <c r="B240">
        <v>202209</v>
      </c>
      <c r="C240" t="s">
        <v>109</v>
      </c>
      <c r="D240" t="s">
        <v>89</v>
      </c>
      <c r="E240">
        <v>0</v>
      </c>
      <c r="F240" t="s">
        <v>118</v>
      </c>
      <c r="G240" s="116">
        <v>808913</v>
      </c>
      <c r="I240" s="119" t="str">
        <f t="shared" si="7"/>
        <v>일시납</v>
      </c>
      <c r="J240" s="118">
        <f t="shared" si="6"/>
        <v>0</v>
      </c>
    </row>
    <row r="241" spans="2:10">
      <c r="B241">
        <v>202209</v>
      </c>
      <c r="C241" t="s">
        <v>109</v>
      </c>
      <c r="D241" t="s">
        <v>89</v>
      </c>
      <c r="E241">
        <v>10</v>
      </c>
      <c r="F241" t="s">
        <v>119</v>
      </c>
      <c r="G241" s="116">
        <v>120505925929</v>
      </c>
      <c r="I241" s="119">
        <f t="shared" si="7"/>
        <v>1</v>
      </c>
      <c r="J241" s="118">
        <f t="shared" si="6"/>
        <v>120505925929</v>
      </c>
    </row>
    <row r="242" spans="2:10">
      <c r="B242">
        <v>202209</v>
      </c>
      <c r="C242" t="s">
        <v>109</v>
      </c>
      <c r="D242" t="s">
        <v>89</v>
      </c>
      <c r="E242">
        <v>10</v>
      </c>
      <c r="F242" t="s">
        <v>118</v>
      </c>
      <c r="G242" s="116">
        <v>2202248082</v>
      </c>
      <c r="I242" s="119">
        <f t="shared" si="7"/>
        <v>1</v>
      </c>
      <c r="J242" s="118">
        <f t="shared" si="6"/>
        <v>2202248082</v>
      </c>
    </row>
    <row r="243" spans="2:10">
      <c r="B243">
        <v>202209</v>
      </c>
      <c r="C243" t="s">
        <v>109</v>
      </c>
      <c r="D243" t="s">
        <v>89</v>
      </c>
      <c r="E243">
        <v>20</v>
      </c>
      <c r="F243" t="s">
        <v>119</v>
      </c>
      <c r="G243" s="116">
        <v>134150</v>
      </c>
      <c r="I243" s="119">
        <f t="shared" si="7"/>
        <v>2</v>
      </c>
      <c r="J243" s="118">
        <f t="shared" si="6"/>
        <v>67075</v>
      </c>
    </row>
    <row r="244" spans="2:10">
      <c r="B244">
        <v>202209</v>
      </c>
      <c r="C244" t="s">
        <v>109</v>
      </c>
      <c r="D244" t="s">
        <v>89</v>
      </c>
      <c r="E244">
        <v>30</v>
      </c>
      <c r="F244" t="s">
        <v>119</v>
      </c>
      <c r="G244" s="116">
        <v>735530</v>
      </c>
      <c r="I244" s="119">
        <f t="shared" si="7"/>
        <v>3</v>
      </c>
      <c r="J244" s="118">
        <f t="shared" si="6"/>
        <v>245176.66666666666</v>
      </c>
    </row>
    <row r="245" spans="2:10">
      <c r="B245">
        <v>202209</v>
      </c>
      <c r="C245" t="s">
        <v>109</v>
      </c>
      <c r="D245" t="s">
        <v>89</v>
      </c>
      <c r="E245">
        <v>60</v>
      </c>
      <c r="F245" t="s">
        <v>119</v>
      </c>
      <c r="G245" s="116">
        <v>1598099</v>
      </c>
      <c r="I245" s="119">
        <f t="shared" si="7"/>
        <v>6</v>
      </c>
      <c r="J245" s="118">
        <f t="shared" si="6"/>
        <v>266349.83333333331</v>
      </c>
    </row>
    <row r="246" spans="2:10">
      <c r="B246">
        <v>202209</v>
      </c>
      <c r="C246" t="s">
        <v>109</v>
      </c>
      <c r="D246" t="s">
        <v>89</v>
      </c>
      <c r="E246">
        <v>90</v>
      </c>
      <c r="F246" t="s">
        <v>119</v>
      </c>
      <c r="G246" s="116">
        <v>17325906</v>
      </c>
      <c r="I246" s="119">
        <f t="shared" si="7"/>
        <v>12</v>
      </c>
      <c r="J246" s="118">
        <f t="shared" si="6"/>
        <v>1443825.5</v>
      </c>
    </row>
    <row r="247" spans="2:10">
      <c r="B247">
        <v>202209</v>
      </c>
      <c r="C247" t="s">
        <v>109</v>
      </c>
      <c r="D247" t="s">
        <v>89</v>
      </c>
      <c r="E247">
        <v>90</v>
      </c>
      <c r="F247" t="s">
        <v>118</v>
      </c>
      <c r="G247" s="116">
        <v>0</v>
      </c>
      <c r="I247" s="119">
        <f t="shared" si="7"/>
        <v>12</v>
      </c>
      <c r="J247" s="118">
        <f t="shared" si="6"/>
        <v>0</v>
      </c>
    </row>
    <row r="248" spans="2:10">
      <c r="B248">
        <v>202209</v>
      </c>
      <c r="C248" t="s">
        <v>109</v>
      </c>
      <c r="D248" t="s">
        <v>15</v>
      </c>
      <c r="E248">
        <v>10</v>
      </c>
      <c r="F248" t="s">
        <v>119</v>
      </c>
      <c r="G248" s="116">
        <v>12719838331</v>
      </c>
      <c r="I248" s="119">
        <f t="shared" si="7"/>
        <v>1</v>
      </c>
      <c r="J248" s="118">
        <f t="shared" si="6"/>
        <v>12719838331</v>
      </c>
    </row>
    <row r="249" spans="2:10">
      <c r="B249">
        <v>202209</v>
      </c>
      <c r="C249" t="s">
        <v>109</v>
      </c>
      <c r="D249" t="s">
        <v>15</v>
      </c>
      <c r="E249">
        <v>10</v>
      </c>
      <c r="F249" t="s">
        <v>118</v>
      </c>
      <c r="G249" s="116">
        <v>629477720</v>
      </c>
      <c r="I249" s="119">
        <f t="shared" si="7"/>
        <v>1</v>
      </c>
      <c r="J249" s="118">
        <f t="shared" si="6"/>
        <v>629477720</v>
      </c>
    </row>
    <row r="250" spans="2:10">
      <c r="B250">
        <v>202209</v>
      </c>
      <c r="C250" t="s">
        <v>109</v>
      </c>
      <c r="D250" t="s">
        <v>15</v>
      </c>
      <c r="E250">
        <v>30</v>
      </c>
      <c r="F250" t="s">
        <v>119</v>
      </c>
      <c r="G250" s="116">
        <v>210000</v>
      </c>
      <c r="I250" s="119">
        <f t="shared" si="7"/>
        <v>3</v>
      </c>
      <c r="J250" s="118">
        <f t="shared" si="6"/>
        <v>70000</v>
      </c>
    </row>
    <row r="251" spans="2:10">
      <c r="B251">
        <v>202209</v>
      </c>
      <c r="C251" t="s">
        <v>109</v>
      </c>
      <c r="D251" t="s">
        <v>15</v>
      </c>
      <c r="E251">
        <v>60</v>
      </c>
      <c r="F251" t="s">
        <v>119</v>
      </c>
      <c r="G251" s="116">
        <v>539969</v>
      </c>
      <c r="I251" s="119">
        <f t="shared" si="7"/>
        <v>6</v>
      </c>
      <c r="J251" s="118">
        <f t="shared" si="6"/>
        <v>89994.833333333328</v>
      </c>
    </row>
    <row r="252" spans="2:10">
      <c r="B252">
        <v>202209</v>
      </c>
      <c r="C252" t="s">
        <v>109</v>
      </c>
      <c r="D252" t="s">
        <v>15</v>
      </c>
      <c r="E252">
        <v>90</v>
      </c>
      <c r="F252" t="s">
        <v>119</v>
      </c>
      <c r="G252" s="116">
        <v>1112072</v>
      </c>
      <c r="I252" s="119">
        <f t="shared" si="7"/>
        <v>12</v>
      </c>
      <c r="J252" s="118">
        <f t="shared" si="6"/>
        <v>92672.666666666672</v>
      </c>
    </row>
    <row r="253" spans="2:10">
      <c r="B253">
        <v>202209</v>
      </c>
      <c r="C253" t="s">
        <v>109</v>
      </c>
      <c r="D253" t="s">
        <v>15</v>
      </c>
      <c r="E253">
        <v>90</v>
      </c>
      <c r="F253" t="s">
        <v>118</v>
      </c>
      <c r="G253" s="116">
        <v>890174</v>
      </c>
      <c r="I253" s="119">
        <f t="shared" si="7"/>
        <v>12</v>
      </c>
      <c r="J253" s="118">
        <f t="shared" si="6"/>
        <v>74181.166666666672</v>
      </c>
    </row>
    <row r="254" spans="2:10">
      <c r="B254">
        <v>202209</v>
      </c>
      <c r="C254" t="s">
        <v>109</v>
      </c>
      <c r="D254" t="s">
        <v>90</v>
      </c>
      <c r="E254">
        <v>10</v>
      </c>
      <c r="F254" t="s">
        <v>119</v>
      </c>
      <c r="G254" s="116">
        <v>19968966164</v>
      </c>
      <c r="I254" s="119">
        <f t="shared" si="7"/>
        <v>1</v>
      </c>
      <c r="J254" s="118">
        <f t="shared" si="6"/>
        <v>19968966164</v>
      </c>
    </row>
    <row r="255" spans="2:10">
      <c r="B255">
        <v>202209</v>
      </c>
      <c r="C255" t="s">
        <v>109</v>
      </c>
      <c r="D255" t="s">
        <v>90</v>
      </c>
      <c r="E255">
        <v>10</v>
      </c>
      <c r="F255" t="s">
        <v>118</v>
      </c>
      <c r="G255" s="116">
        <v>27009134</v>
      </c>
      <c r="I255" s="119">
        <f t="shared" si="7"/>
        <v>1</v>
      </c>
      <c r="J255" s="118">
        <f t="shared" si="6"/>
        <v>27009134</v>
      </c>
    </row>
    <row r="256" spans="2:10">
      <c r="B256">
        <v>202209</v>
      </c>
      <c r="C256" t="s">
        <v>109</v>
      </c>
      <c r="D256" t="s">
        <v>90</v>
      </c>
      <c r="E256">
        <v>30</v>
      </c>
      <c r="F256" t="s">
        <v>119</v>
      </c>
      <c r="G256" s="116">
        <v>105200</v>
      </c>
      <c r="I256" s="119">
        <f t="shared" si="7"/>
        <v>3</v>
      </c>
      <c r="J256" s="118">
        <f t="shared" si="6"/>
        <v>35066.666666666664</v>
      </c>
    </row>
    <row r="257" spans="2:10">
      <c r="B257">
        <v>202209</v>
      </c>
      <c r="C257" t="s">
        <v>109</v>
      </c>
      <c r="D257" t="s">
        <v>90</v>
      </c>
      <c r="E257">
        <v>90</v>
      </c>
      <c r="F257" t="s">
        <v>119</v>
      </c>
      <c r="G257" s="116">
        <v>2167830</v>
      </c>
      <c r="I257" s="119">
        <f t="shared" si="7"/>
        <v>12</v>
      </c>
      <c r="J257" s="118">
        <f t="shared" si="6"/>
        <v>180652.5</v>
      </c>
    </row>
    <row r="258" spans="2:10">
      <c r="B258">
        <v>202209</v>
      </c>
      <c r="C258" t="s">
        <v>109</v>
      </c>
      <c r="D258" t="s">
        <v>90</v>
      </c>
      <c r="E258">
        <v>90</v>
      </c>
      <c r="F258" t="s">
        <v>118</v>
      </c>
      <c r="G258" s="116">
        <v>0</v>
      </c>
      <c r="I258" s="119">
        <f t="shared" si="7"/>
        <v>12</v>
      </c>
      <c r="J258" s="118">
        <f t="shared" si="6"/>
        <v>0</v>
      </c>
    </row>
    <row r="259" spans="2:10">
      <c r="B259">
        <v>202209</v>
      </c>
      <c r="C259" t="s">
        <v>91</v>
      </c>
      <c r="D259" t="s">
        <v>91</v>
      </c>
      <c r="E259">
        <v>10</v>
      </c>
      <c r="F259" t="s">
        <v>119</v>
      </c>
      <c r="G259" s="116">
        <v>2339314766</v>
      </c>
      <c r="I259" s="119">
        <f t="shared" si="7"/>
        <v>1</v>
      </c>
      <c r="J259" s="118">
        <f t="shared" ref="J259:J322" si="8">+IF(E259=0,0,G259/I259)</f>
        <v>2339314766</v>
      </c>
    </row>
    <row r="260" spans="2:10">
      <c r="B260">
        <v>202209</v>
      </c>
      <c r="C260" t="s">
        <v>91</v>
      </c>
      <c r="D260" t="s">
        <v>91</v>
      </c>
      <c r="E260">
        <v>10</v>
      </c>
      <c r="F260" t="s">
        <v>118</v>
      </c>
      <c r="G260" s="116">
        <v>17748370</v>
      </c>
      <c r="I260" s="119">
        <f t="shared" ref="I260:I323" si="9">+VLOOKUP($E260,$N$2:$P$7,3,0)</f>
        <v>1</v>
      </c>
      <c r="J260" s="118">
        <f t="shared" si="8"/>
        <v>17748370</v>
      </c>
    </row>
    <row r="261" spans="2:10">
      <c r="B261">
        <v>202209</v>
      </c>
      <c r="C261" t="s">
        <v>91</v>
      </c>
      <c r="D261" t="s">
        <v>91</v>
      </c>
      <c r="E261">
        <v>30</v>
      </c>
      <c r="F261" t="s">
        <v>119</v>
      </c>
      <c r="G261" s="116">
        <v>530000</v>
      </c>
      <c r="I261" s="119">
        <f t="shared" si="9"/>
        <v>3</v>
      </c>
      <c r="J261" s="118">
        <f t="shared" si="8"/>
        <v>176666.66666666666</v>
      </c>
    </row>
    <row r="262" spans="2:10">
      <c r="B262">
        <v>202209</v>
      </c>
      <c r="C262" t="s">
        <v>91</v>
      </c>
      <c r="D262" t="s">
        <v>91</v>
      </c>
      <c r="E262">
        <v>90</v>
      </c>
      <c r="F262" t="s">
        <v>119</v>
      </c>
      <c r="G262" s="116">
        <v>360000</v>
      </c>
      <c r="I262" s="119">
        <f t="shared" si="9"/>
        <v>12</v>
      </c>
      <c r="J262" s="118">
        <f t="shared" si="8"/>
        <v>30000</v>
      </c>
    </row>
    <row r="263" spans="2:10">
      <c r="B263">
        <v>202209</v>
      </c>
      <c r="C263" t="s">
        <v>91</v>
      </c>
      <c r="D263" t="s">
        <v>91</v>
      </c>
      <c r="E263">
        <v>90</v>
      </c>
      <c r="F263" t="s">
        <v>118</v>
      </c>
      <c r="G263" s="116">
        <v>120000</v>
      </c>
      <c r="I263" s="119">
        <f t="shared" si="9"/>
        <v>12</v>
      </c>
      <c r="J263" s="118">
        <f t="shared" si="8"/>
        <v>10000</v>
      </c>
    </row>
    <row r="264" spans="2:10">
      <c r="B264">
        <v>202209</v>
      </c>
      <c r="C264" t="s">
        <v>114</v>
      </c>
      <c r="D264" t="s">
        <v>93</v>
      </c>
      <c r="E264">
        <v>10</v>
      </c>
      <c r="F264" t="s">
        <v>119</v>
      </c>
      <c r="G264" s="116">
        <v>3399189736</v>
      </c>
      <c r="I264" s="119">
        <f t="shared" si="9"/>
        <v>1</v>
      </c>
      <c r="J264" s="118">
        <f t="shared" si="8"/>
        <v>3399189736</v>
      </c>
    </row>
    <row r="265" spans="2:10">
      <c r="B265">
        <v>202209</v>
      </c>
      <c r="C265" t="s">
        <v>114</v>
      </c>
      <c r="D265" t="s">
        <v>93</v>
      </c>
      <c r="E265">
        <v>10</v>
      </c>
      <c r="F265" t="s">
        <v>118</v>
      </c>
      <c r="G265" s="116">
        <v>11026600</v>
      </c>
      <c r="I265" s="119">
        <f t="shared" si="9"/>
        <v>1</v>
      </c>
      <c r="J265" s="118">
        <f t="shared" si="8"/>
        <v>11026600</v>
      </c>
    </row>
    <row r="266" spans="2:10">
      <c r="B266">
        <v>202209</v>
      </c>
      <c r="C266" t="s">
        <v>114</v>
      </c>
      <c r="D266" t="s">
        <v>92</v>
      </c>
      <c r="E266">
        <v>0</v>
      </c>
      <c r="F266" t="s">
        <v>119</v>
      </c>
      <c r="G266" s="116">
        <v>0</v>
      </c>
      <c r="I266" s="119" t="str">
        <f t="shared" si="9"/>
        <v>일시납</v>
      </c>
      <c r="J266" s="118">
        <f t="shared" si="8"/>
        <v>0</v>
      </c>
    </row>
    <row r="267" spans="2:10">
      <c r="B267">
        <v>202209</v>
      </c>
      <c r="C267" t="s">
        <v>114</v>
      </c>
      <c r="D267" t="s">
        <v>92</v>
      </c>
      <c r="E267">
        <v>0</v>
      </c>
      <c r="F267" t="s">
        <v>118</v>
      </c>
      <c r="G267" s="116">
        <v>0</v>
      </c>
      <c r="I267" s="119" t="str">
        <f t="shared" si="9"/>
        <v>일시납</v>
      </c>
      <c r="J267" s="118">
        <f t="shared" si="8"/>
        <v>0</v>
      </c>
    </row>
    <row r="268" spans="2:10">
      <c r="B268">
        <v>202209</v>
      </c>
      <c r="C268" t="s">
        <v>114</v>
      </c>
      <c r="D268" t="s">
        <v>92</v>
      </c>
      <c r="E268">
        <v>10</v>
      </c>
      <c r="F268" t="s">
        <v>119</v>
      </c>
      <c r="G268" s="116">
        <v>5608735888</v>
      </c>
      <c r="I268" s="119">
        <f t="shared" si="9"/>
        <v>1</v>
      </c>
      <c r="J268" s="118">
        <f t="shared" si="8"/>
        <v>5608735888</v>
      </c>
    </row>
    <row r="269" spans="2:10">
      <c r="B269">
        <v>202209</v>
      </c>
      <c r="C269" t="s">
        <v>114</v>
      </c>
      <c r="D269" t="s">
        <v>92</v>
      </c>
      <c r="E269">
        <v>90</v>
      </c>
      <c r="F269" t="s">
        <v>119</v>
      </c>
      <c r="G269" s="116">
        <v>0</v>
      </c>
      <c r="I269" s="119">
        <f t="shared" si="9"/>
        <v>12</v>
      </c>
      <c r="J269" s="118">
        <f t="shared" si="8"/>
        <v>0</v>
      </c>
    </row>
    <row r="270" spans="2:10">
      <c r="B270">
        <v>202210</v>
      </c>
      <c r="C270" t="s">
        <v>109</v>
      </c>
      <c r="D270" t="s">
        <v>89</v>
      </c>
      <c r="E270">
        <v>0</v>
      </c>
      <c r="F270" t="s">
        <v>118</v>
      </c>
      <c r="G270" s="116">
        <v>300334</v>
      </c>
      <c r="I270" s="119" t="str">
        <f t="shared" si="9"/>
        <v>일시납</v>
      </c>
      <c r="J270" s="118">
        <f t="shared" si="8"/>
        <v>0</v>
      </c>
    </row>
    <row r="271" spans="2:10">
      <c r="B271">
        <v>202210</v>
      </c>
      <c r="C271" t="s">
        <v>109</v>
      </c>
      <c r="D271" t="s">
        <v>89</v>
      </c>
      <c r="E271">
        <v>10</v>
      </c>
      <c r="F271" t="s">
        <v>119</v>
      </c>
      <c r="G271" s="116">
        <v>122090073429</v>
      </c>
      <c r="I271" s="119">
        <f t="shared" si="9"/>
        <v>1</v>
      </c>
      <c r="J271" s="118">
        <f t="shared" si="8"/>
        <v>122090073429</v>
      </c>
    </row>
    <row r="272" spans="2:10">
      <c r="B272">
        <v>202210</v>
      </c>
      <c r="C272" t="s">
        <v>109</v>
      </c>
      <c r="D272" t="s">
        <v>89</v>
      </c>
      <c r="E272">
        <v>10</v>
      </c>
      <c r="F272" t="s">
        <v>118</v>
      </c>
      <c r="G272" s="116">
        <v>2027611956</v>
      </c>
      <c r="I272" s="119">
        <f t="shared" si="9"/>
        <v>1</v>
      </c>
      <c r="J272" s="118">
        <f t="shared" si="8"/>
        <v>2027611956</v>
      </c>
    </row>
    <row r="273" spans="2:10">
      <c r="B273">
        <v>202210</v>
      </c>
      <c r="C273" t="s">
        <v>109</v>
      </c>
      <c r="D273" t="s">
        <v>89</v>
      </c>
      <c r="E273">
        <v>20</v>
      </c>
      <c r="F273" t="s">
        <v>119</v>
      </c>
      <c r="G273" s="116">
        <v>-31170</v>
      </c>
      <c r="I273" s="119">
        <f t="shared" si="9"/>
        <v>2</v>
      </c>
      <c r="J273" s="118">
        <f t="shared" si="8"/>
        <v>-15585</v>
      </c>
    </row>
    <row r="274" spans="2:10">
      <c r="B274">
        <v>202210</v>
      </c>
      <c r="C274" t="s">
        <v>109</v>
      </c>
      <c r="D274" t="s">
        <v>89</v>
      </c>
      <c r="E274">
        <v>30</v>
      </c>
      <c r="F274" t="s">
        <v>119</v>
      </c>
      <c r="G274" s="116">
        <v>820980</v>
      </c>
      <c r="I274" s="119">
        <f t="shared" si="9"/>
        <v>3</v>
      </c>
      <c r="J274" s="118">
        <f t="shared" si="8"/>
        <v>273660</v>
      </c>
    </row>
    <row r="275" spans="2:10">
      <c r="B275">
        <v>202210</v>
      </c>
      <c r="C275" t="s">
        <v>109</v>
      </c>
      <c r="D275" t="s">
        <v>89</v>
      </c>
      <c r="E275">
        <v>60</v>
      </c>
      <c r="F275" t="s">
        <v>119</v>
      </c>
      <c r="G275" s="116">
        <v>1015120</v>
      </c>
      <c r="I275" s="119">
        <f t="shared" si="9"/>
        <v>6</v>
      </c>
      <c r="J275" s="118">
        <f t="shared" si="8"/>
        <v>169186.66666666666</v>
      </c>
    </row>
    <row r="276" spans="2:10">
      <c r="B276">
        <v>202210</v>
      </c>
      <c r="C276" t="s">
        <v>109</v>
      </c>
      <c r="D276" t="s">
        <v>89</v>
      </c>
      <c r="E276">
        <v>90</v>
      </c>
      <c r="F276" t="s">
        <v>119</v>
      </c>
      <c r="G276" s="116">
        <v>5577380</v>
      </c>
      <c r="I276" s="119">
        <f t="shared" si="9"/>
        <v>12</v>
      </c>
      <c r="J276" s="118">
        <f t="shared" si="8"/>
        <v>464781.66666666669</v>
      </c>
    </row>
    <row r="277" spans="2:10">
      <c r="B277">
        <v>202210</v>
      </c>
      <c r="C277" t="s">
        <v>109</v>
      </c>
      <c r="D277" t="s">
        <v>89</v>
      </c>
      <c r="E277">
        <v>90</v>
      </c>
      <c r="F277" t="s">
        <v>118</v>
      </c>
      <c r="G277" s="116">
        <v>0</v>
      </c>
      <c r="I277" s="119">
        <f t="shared" si="9"/>
        <v>12</v>
      </c>
      <c r="J277" s="118">
        <f t="shared" si="8"/>
        <v>0</v>
      </c>
    </row>
    <row r="278" spans="2:10">
      <c r="B278">
        <v>202210</v>
      </c>
      <c r="C278" t="s">
        <v>109</v>
      </c>
      <c r="D278" t="s">
        <v>15</v>
      </c>
      <c r="E278">
        <v>10</v>
      </c>
      <c r="F278" t="s">
        <v>119</v>
      </c>
      <c r="G278" s="116">
        <v>13160039545</v>
      </c>
      <c r="I278" s="119">
        <f t="shared" si="9"/>
        <v>1</v>
      </c>
      <c r="J278" s="118">
        <f t="shared" si="8"/>
        <v>13160039545</v>
      </c>
    </row>
    <row r="279" spans="2:10">
      <c r="B279">
        <v>202210</v>
      </c>
      <c r="C279" t="s">
        <v>109</v>
      </c>
      <c r="D279" t="s">
        <v>15</v>
      </c>
      <c r="E279">
        <v>10</v>
      </c>
      <c r="F279" t="s">
        <v>118</v>
      </c>
      <c r="G279" s="116">
        <v>411122360</v>
      </c>
      <c r="I279" s="119">
        <f t="shared" si="9"/>
        <v>1</v>
      </c>
      <c r="J279" s="118">
        <f t="shared" si="8"/>
        <v>411122360</v>
      </c>
    </row>
    <row r="280" spans="2:10">
      <c r="B280">
        <v>202210</v>
      </c>
      <c r="C280" t="s">
        <v>109</v>
      </c>
      <c r="D280" t="s">
        <v>15</v>
      </c>
      <c r="E280">
        <v>30</v>
      </c>
      <c r="F280" t="s">
        <v>119</v>
      </c>
      <c r="G280" s="116">
        <v>1643375</v>
      </c>
      <c r="I280" s="119">
        <f t="shared" si="9"/>
        <v>3</v>
      </c>
      <c r="J280" s="118">
        <f t="shared" si="8"/>
        <v>547791.66666666663</v>
      </c>
    </row>
    <row r="281" spans="2:10">
      <c r="B281">
        <v>202210</v>
      </c>
      <c r="C281" t="s">
        <v>109</v>
      </c>
      <c r="D281" t="s">
        <v>15</v>
      </c>
      <c r="E281">
        <v>60</v>
      </c>
      <c r="F281" t="s">
        <v>119</v>
      </c>
      <c r="G281" s="116">
        <v>0</v>
      </c>
      <c r="I281" s="119">
        <f t="shared" si="9"/>
        <v>6</v>
      </c>
      <c r="J281" s="118">
        <f t="shared" si="8"/>
        <v>0</v>
      </c>
    </row>
    <row r="282" spans="2:10">
      <c r="B282">
        <v>202210</v>
      </c>
      <c r="C282" t="s">
        <v>109</v>
      </c>
      <c r="D282" t="s">
        <v>15</v>
      </c>
      <c r="E282">
        <v>60</v>
      </c>
      <c r="F282" t="s">
        <v>118</v>
      </c>
      <c r="G282" s="116">
        <v>120031</v>
      </c>
      <c r="I282" s="119">
        <f t="shared" si="9"/>
        <v>6</v>
      </c>
      <c r="J282" s="118">
        <f t="shared" si="8"/>
        <v>20005.166666666668</v>
      </c>
    </row>
    <row r="283" spans="2:10">
      <c r="B283">
        <v>202210</v>
      </c>
      <c r="C283" t="s">
        <v>109</v>
      </c>
      <c r="D283" t="s">
        <v>15</v>
      </c>
      <c r="E283">
        <v>90</v>
      </c>
      <c r="F283" t="s">
        <v>119</v>
      </c>
      <c r="G283" s="116">
        <v>1366634</v>
      </c>
      <c r="I283" s="119">
        <f t="shared" si="9"/>
        <v>12</v>
      </c>
      <c r="J283" s="118">
        <f t="shared" si="8"/>
        <v>113886.16666666667</v>
      </c>
    </row>
    <row r="284" spans="2:10">
      <c r="B284">
        <v>202210</v>
      </c>
      <c r="C284" t="s">
        <v>109</v>
      </c>
      <c r="D284" t="s">
        <v>15</v>
      </c>
      <c r="E284">
        <v>90</v>
      </c>
      <c r="F284" t="s">
        <v>118</v>
      </c>
      <c r="G284" s="116">
        <v>843260</v>
      </c>
      <c r="I284" s="119">
        <f t="shared" si="9"/>
        <v>12</v>
      </c>
      <c r="J284" s="118">
        <f t="shared" si="8"/>
        <v>70271.666666666672</v>
      </c>
    </row>
    <row r="285" spans="2:10">
      <c r="B285">
        <v>202210</v>
      </c>
      <c r="C285" t="s">
        <v>109</v>
      </c>
      <c r="D285" t="s">
        <v>90</v>
      </c>
      <c r="E285">
        <v>10</v>
      </c>
      <c r="F285" t="s">
        <v>119</v>
      </c>
      <c r="G285" s="116">
        <v>19899129732</v>
      </c>
      <c r="I285" s="119">
        <f t="shared" si="9"/>
        <v>1</v>
      </c>
      <c r="J285" s="118">
        <f t="shared" si="8"/>
        <v>19899129732</v>
      </c>
    </row>
    <row r="286" spans="2:10">
      <c r="B286">
        <v>202210</v>
      </c>
      <c r="C286" t="s">
        <v>109</v>
      </c>
      <c r="D286" t="s">
        <v>90</v>
      </c>
      <c r="E286">
        <v>10</v>
      </c>
      <c r="F286" t="s">
        <v>118</v>
      </c>
      <c r="G286" s="116">
        <v>25395584</v>
      </c>
      <c r="I286" s="119">
        <f t="shared" si="9"/>
        <v>1</v>
      </c>
      <c r="J286" s="118">
        <f t="shared" si="8"/>
        <v>25395584</v>
      </c>
    </row>
    <row r="287" spans="2:10">
      <c r="B287">
        <v>202210</v>
      </c>
      <c r="C287" t="s">
        <v>109</v>
      </c>
      <c r="D287" t="s">
        <v>90</v>
      </c>
      <c r="E287">
        <v>30</v>
      </c>
      <c r="F287" t="s">
        <v>119</v>
      </c>
      <c r="G287" s="116">
        <v>133551</v>
      </c>
      <c r="I287" s="119">
        <f t="shared" si="9"/>
        <v>3</v>
      </c>
      <c r="J287" s="118">
        <f t="shared" si="8"/>
        <v>44517</v>
      </c>
    </row>
    <row r="288" spans="2:10">
      <c r="B288">
        <v>202210</v>
      </c>
      <c r="C288" t="s">
        <v>109</v>
      </c>
      <c r="D288" t="s">
        <v>90</v>
      </c>
      <c r="E288">
        <v>60</v>
      </c>
      <c r="F288" t="s">
        <v>119</v>
      </c>
      <c r="G288" s="116">
        <v>820320</v>
      </c>
      <c r="I288" s="119">
        <f t="shared" si="9"/>
        <v>6</v>
      </c>
      <c r="J288" s="118">
        <f t="shared" si="8"/>
        <v>136720</v>
      </c>
    </row>
    <row r="289" spans="2:10">
      <c r="B289">
        <v>202210</v>
      </c>
      <c r="C289" t="s">
        <v>109</v>
      </c>
      <c r="D289" t="s">
        <v>90</v>
      </c>
      <c r="E289">
        <v>90</v>
      </c>
      <c r="F289" t="s">
        <v>118</v>
      </c>
      <c r="G289" s="116">
        <v>0</v>
      </c>
      <c r="I289" s="119">
        <f t="shared" si="9"/>
        <v>12</v>
      </c>
      <c r="J289" s="118">
        <f t="shared" si="8"/>
        <v>0</v>
      </c>
    </row>
    <row r="290" spans="2:10">
      <c r="B290">
        <v>202210</v>
      </c>
      <c r="C290" t="s">
        <v>91</v>
      </c>
      <c r="D290" t="s">
        <v>91</v>
      </c>
      <c r="E290">
        <v>10</v>
      </c>
      <c r="F290" t="s">
        <v>119</v>
      </c>
      <c r="G290" s="116">
        <v>2221477523</v>
      </c>
      <c r="I290" s="119">
        <f t="shared" si="9"/>
        <v>1</v>
      </c>
      <c r="J290" s="118">
        <f t="shared" si="8"/>
        <v>2221477523</v>
      </c>
    </row>
    <row r="291" spans="2:10">
      <c r="B291">
        <v>202210</v>
      </c>
      <c r="C291" t="s">
        <v>91</v>
      </c>
      <c r="D291" t="s">
        <v>91</v>
      </c>
      <c r="E291">
        <v>10</v>
      </c>
      <c r="F291" t="s">
        <v>118</v>
      </c>
      <c r="G291" s="116">
        <v>6858599</v>
      </c>
      <c r="I291" s="119">
        <f t="shared" si="9"/>
        <v>1</v>
      </c>
      <c r="J291" s="118">
        <f t="shared" si="8"/>
        <v>6858599</v>
      </c>
    </row>
    <row r="292" spans="2:10">
      <c r="B292">
        <v>202210</v>
      </c>
      <c r="C292" t="s">
        <v>91</v>
      </c>
      <c r="D292" t="s">
        <v>91</v>
      </c>
      <c r="E292">
        <v>30</v>
      </c>
      <c r="F292" t="s">
        <v>119</v>
      </c>
      <c r="G292" s="116">
        <v>-9870000</v>
      </c>
      <c r="I292" s="119">
        <f t="shared" si="9"/>
        <v>3</v>
      </c>
      <c r="J292" s="118">
        <f t="shared" si="8"/>
        <v>-3290000</v>
      </c>
    </row>
    <row r="293" spans="2:10">
      <c r="B293">
        <v>202210</v>
      </c>
      <c r="C293" t="s">
        <v>91</v>
      </c>
      <c r="D293" t="s">
        <v>91</v>
      </c>
      <c r="E293">
        <v>60</v>
      </c>
      <c r="F293" t="s">
        <v>119</v>
      </c>
      <c r="G293" s="116">
        <v>54000</v>
      </c>
      <c r="I293" s="119">
        <f t="shared" si="9"/>
        <v>6</v>
      </c>
      <c r="J293" s="118">
        <f t="shared" si="8"/>
        <v>9000</v>
      </c>
    </row>
    <row r="294" spans="2:10">
      <c r="B294">
        <v>202210</v>
      </c>
      <c r="C294" t="s">
        <v>91</v>
      </c>
      <c r="D294" t="s">
        <v>91</v>
      </c>
      <c r="E294">
        <v>90</v>
      </c>
      <c r="F294" t="s">
        <v>119</v>
      </c>
      <c r="G294" s="116">
        <v>1080000</v>
      </c>
      <c r="I294" s="119">
        <f t="shared" si="9"/>
        <v>12</v>
      </c>
      <c r="J294" s="118">
        <f t="shared" si="8"/>
        <v>90000</v>
      </c>
    </row>
    <row r="295" spans="2:10">
      <c r="B295">
        <v>202210</v>
      </c>
      <c r="C295" t="s">
        <v>114</v>
      </c>
      <c r="D295" t="s">
        <v>93</v>
      </c>
      <c r="E295">
        <v>10</v>
      </c>
      <c r="F295" t="s">
        <v>119</v>
      </c>
      <c r="G295" s="116">
        <v>3392041796</v>
      </c>
      <c r="I295" s="119">
        <f t="shared" si="9"/>
        <v>1</v>
      </c>
      <c r="J295" s="118">
        <f t="shared" si="8"/>
        <v>3392041796</v>
      </c>
    </row>
    <row r="296" spans="2:10">
      <c r="B296">
        <v>202210</v>
      </c>
      <c r="C296" t="s">
        <v>114</v>
      </c>
      <c r="D296" t="s">
        <v>93</v>
      </c>
      <c r="E296">
        <v>10</v>
      </c>
      <c r="F296" t="s">
        <v>118</v>
      </c>
      <c r="G296" s="116">
        <v>20120000</v>
      </c>
      <c r="I296" s="119">
        <f t="shared" si="9"/>
        <v>1</v>
      </c>
      <c r="J296" s="118">
        <f t="shared" si="8"/>
        <v>20120000</v>
      </c>
    </row>
    <row r="297" spans="2:10">
      <c r="B297">
        <v>202210</v>
      </c>
      <c r="C297" t="s">
        <v>114</v>
      </c>
      <c r="D297" t="s">
        <v>93</v>
      </c>
      <c r="E297">
        <v>30</v>
      </c>
      <c r="F297" t="s">
        <v>119</v>
      </c>
      <c r="G297" s="116">
        <v>900000</v>
      </c>
      <c r="I297" s="119">
        <f t="shared" si="9"/>
        <v>3</v>
      </c>
      <c r="J297" s="118">
        <f t="shared" si="8"/>
        <v>300000</v>
      </c>
    </row>
    <row r="298" spans="2:10">
      <c r="B298">
        <v>202210</v>
      </c>
      <c r="C298" t="s">
        <v>114</v>
      </c>
      <c r="D298" t="s">
        <v>92</v>
      </c>
      <c r="E298">
        <v>0</v>
      </c>
      <c r="F298" t="s">
        <v>119</v>
      </c>
      <c r="G298" s="116">
        <v>0</v>
      </c>
      <c r="I298" s="119" t="str">
        <f t="shared" si="9"/>
        <v>일시납</v>
      </c>
      <c r="J298" s="118">
        <f t="shared" si="8"/>
        <v>0</v>
      </c>
    </row>
    <row r="299" spans="2:10">
      <c r="B299">
        <v>202210</v>
      </c>
      <c r="C299" t="s">
        <v>114</v>
      </c>
      <c r="D299" t="s">
        <v>92</v>
      </c>
      <c r="E299">
        <v>0</v>
      </c>
      <c r="F299" t="s">
        <v>118</v>
      </c>
      <c r="G299" s="116">
        <v>0</v>
      </c>
      <c r="I299" s="119" t="str">
        <f t="shared" si="9"/>
        <v>일시납</v>
      </c>
      <c r="J299" s="118">
        <f t="shared" si="8"/>
        <v>0</v>
      </c>
    </row>
    <row r="300" spans="2:10">
      <c r="B300">
        <v>202210</v>
      </c>
      <c r="C300" t="s">
        <v>114</v>
      </c>
      <c r="D300" t="s">
        <v>92</v>
      </c>
      <c r="E300">
        <v>10</v>
      </c>
      <c r="F300" t="s">
        <v>119</v>
      </c>
      <c r="G300" s="116">
        <v>5296782272</v>
      </c>
      <c r="I300" s="119">
        <f t="shared" si="9"/>
        <v>1</v>
      </c>
      <c r="J300" s="118">
        <f t="shared" si="8"/>
        <v>5296782272</v>
      </c>
    </row>
    <row r="301" spans="2:10">
      <c r="B301">
        <v>202210</v>
      </c>
      <c r="C301" t="s">
        <v>114</v>
      </c>
      <c r="D301" t="s">
        <v>92</v>
      </c>
      <c r="E301">
        <v>10</v>
      </c>
      <c r="F301" t="s">
        <v>118</v>
      </c>
      <c r="G301" s="116">
        <v>-400000</v>
      </c>
      <c r="I301" s="119">
        <f t="shared" si="9"/>
        <v>1</v>
      </c>
      <c r="J301" s="118">
        <f t="shared" si="8"/>
        <v>-400000</v>
      </c>
    </row>
    <row r="302" spans="2:10">
      <c r="B302">
        <v>202210</v>
      </c>
      <c r="C302" t="s">
        <v>114</v>
      </c>
      <c r="D302" t="s">
        <v>92</v>
      </c>
      <c r="E302">
        <v>90</v>
      </c>
      <c r="F302" t="s">
        <v>119</v>
      </c>
      <c r="G302" s="116">
        <v>0</v>
      </c>
      <c r="I302" s="119">
        <f t="shared" si="9"/>
        <v>12</v>
      </c>
      <c r="J302" s="118">
        <f t="shared" si="8"/>
        <v>0</v>
      </c>
    </row>
    <row r="303" spans="2:10">
      <c r="B303">
        <v>202210</v>
      </c>
      <c r="C303" t="s">
        <v>114</v>
      </c>
      <c r="D303" t="s">
        <v>92</v>
      </c>
      <c r="E303">
        <v>90</v>
      </c>
      <c r="F303" t="s">
        <v>118</v>
      </c>
      <c r="G303" s="116">
        <v>0</v>
      </c>
      <c r="I303" s="119">
        <f t="shared" si="9"/>
        <v>12</v>
      </c>
      <c r="J303" s="118">
        <f t="shared" si="8"/>
        <v>0</v>
      </c>
    </row>
    <row r="304" spans="2:10">
      <c r="B304">
        <v>202211</v>
      </c>
      <c r="C304" t="s">
        <v>109</v>
      </c>
      <c r="D304" t="s">
        <v>89</v>
      </c>
      <c r="E304">
        <v>0</v>
      </c>
      <c r="F304" t="s">
        <v>118</v>
      </c>
      <c r="G304" s="116">
        <v>495798</v>
      </c>
      <c r="I304" s="119" t="str">
        <f t="shared" si="9"/>
        <v>일시납</v>
      </c>
      <c r="J304" s="118">
        <f t="shared" si="8"/>
        <v>0</v>
      </c>
    </row>
    <row r="305" spans="2:10">
      <c r="B305">
        <v>202211</v>
      </c>
      <c r="C305" t="s">
        <v>109</v>
      </c>
      <c r="D305" t="s">
        <v>89</v>
      </c>
      <c r="E305">
        <v>10</v>
      </c>
      <c r="F305" t="s">
        <v>119</v>
      </c>
      <c r="G305" s="116">
        <v>122976289763</v>
      </c>
      <c r="I305" s="119">
        <f t="shared" si="9"/>
        <v>1</v>
      </c>
      <c r="J305" s="118">
        <f t="shared" si="8"/>
        <v>122976289763</v>
      </c>
    </row>
    <row r="306" spans="2:10">
      <c r="B306">
        <v>202211</v>
      </c>
      <c r="C306" t="s">
        <v>109</v>
      </c>
      <c r="D306" t="s">
        <v>89</v>
      </c>
      <c r="E306">
        <v>10</v>
      </c>
      <c r="F306" t="s">
        <v>118</v>
      </c>
      <c r="G306" s="116">
        <v>2253233532</v>
      </c>
      <c r="I306" s="119">
        <f t="shared" si="9"/>
        <v>1</v>
      </c>
      <c r="J306" s="118">
        <f t="shared" si="8"/>
        <v>2253233532</v>
      </c>
    </row>
    <row r="307" spans="2:10">
      <c r="B307">
        <v>202211</v>
      </c>
      <c r="C307" t="s">
        <v>109</v>
      </c>
      <c r="D307" t="s">
        <v>89</v>
      </c>
      <c r="E307">
        <v>20</v>
      </c>
      <c r="F307" t="s">
        <v>119</v>
      </c>
      <c r="G307" s="116">
        <v>102980</v>
      </c>
      <c r="I307" s="119">
        <f t="shared" si="9"/>
        <v>2</v>
      </c>
      <c r="J307" s="118">
        <f t="shared" si="8"/>
        <v>51490</v>
      </c>
    </row>
    <row r="308" spans="2:10">
      <c r="B308">
        <v>202211</v>
      </c>
      <c r="C308" t="s">
        <v>109</v>
      </c>
      <c r="D308" t="s">
        <v>89</v>
      </c>
      <c r="E308">
        <v>30</v>
      </c>
      <c r="F308" t="s">
        <v>119</v>
      </c>
      <c r="G308" s="116">
        <v>1527447</v>
      </c>
      <c r="I308" s="119">
        <f t="shared" si="9"/>
        <v>3</v>
      </c>
      <c r="J308" s="118">
        <f t="shared" si="8"/>
        <v>509149</v>
      </c>
    </row>
    <row r="309" spans="2:10">
      <c r="B309">
        <v>202211</v>
      </c>
      <c r="C309" t="s">
        <v>109</v>
      </c>
      <c r="D309" t="s">
        <v>89</v>
      </c>
      <c r="E309">
        <v>90</v>
      </c>
      <c r="F309" t="s">
        <v>119</v>
      </c>
      <c r="G309" s="116">
        <v>8225497</v>
      </c>
      <c r="I309" s="119">
        <f t="shared" si="9"/>
        <v>12</v>
      </c>
      <c r="J309" s="118">
        <f t="shared" si="8"/>
        <v>685458.08333333337</v>
      </c>
    </row>
    <row r="310" spans="2:10">
      <c r="B310">
        <v>202211</v>
      </c>
      <c r="C310" t="s">
        <v>109</v>
      </c>
      <c r="D310" t="s">
        <v>89</v>
      </c>
      <c r="E310">
        <v>90</v>
      </c>
      <c r="F310" t="s">
        <v>118</v>
      </c>
      <c r="G310" s="116">
        <v>0</v>
      </c>
      <c r="I310" s="119">
        <f t="shared" si="9"/>
        <v>12</v>
      </c>
      <c r="J310" s="118">
        <f t="shared" si="8"/>
        <v>0</v>
      </c>
    </row>
    <row r="311" spans="2:10">
      <c r="B311">
        <v>202211</v>
      </c>
      <c r="C311" t="s">
        <v>109</v>
      </c>
      <c r="D311" t="s">
        <v>15</v>
      </c>
      <c r="E311">
        <v>10</v>
      </c>
      <c r="F311" t="s">
        <v>119</v>
      </c>
      <c r="G311" s="116">
        <v>13327879428</v>
      </c>
      <c r="I311" s="119">
        <f t="shared" si="9"/>
        <v>1</v>
      </c>
      <c r="J311" s="118">
        <f t="shared" si="8"/>
        <v>13327879428</v>
      </c>
    </row>
    <row r="312" spans="2:10">
      <c r="B312">
        <v>202211</v>
      </c>
      <c r="C312" t="s">
        <v>109</v>
      </c>
      <c r="D312" t="s">
        <v>15</v>
      </c>
      <c r="E312">
        <v>10</v>
      </c>
      <c r="F312" t="s">
        <v>118</v>
      </c>
      <c r="G312" s="116">
        <v>455798099</v>
      </c>
      <c r="I312" s="119">
        <f t="shared" si="9"/>
        <v>1</v>
      </c>
      <c r="J312" s="118">
        <f t="shared" si="8"/>
        <v>455798099</v>
      </c>
    </row>
    <row r="313" spans="2:10">
      <c r="B313">
        <v>202211</v>
      </c>
      <c r="C313" t="s">
        <v>109</v>
      </c>
      <c r="D313" t="s">
        <v>15</v>
      </c>
      <c r="E313">
        <v>90</v>
      </c>
      <c r="F313" t="s">
        <v>119</v>
      </c>
      <c r="G313" s="116">
        <v>969395</v>
      </c>
      <c r="I313" s="119">
        <f t="shared" si="9"/>
        <v>12</v>
      </c>
      <c r="J313" s="118">
        <f t="shared" si="8"/>
        <v>80782.916666666672</v>
      </c>
    </row>
    <row r="314" spans="2:10">
      <c r="B314">
        <v>202211</v>
      </c>
      <c r="C314" t="s">
        <v>109</v>
      </c>
      <c r="D314" t="s">
        <v>15</v>
      </c>
      <c r="E314">
        <v>90</v>
      </c>
      <c r="F314" t="s">
        <v>118</v>
      </c>
      <c r="G314" s="116">
        <v>240000</v>
      </c>
      <c r="I314" s="119">
        <f t="shared" si="9"/>
        <v>12</v>
      </c>
      <c r="J314" s="118">
        <f t="shared" si="8"/>
        <v>20000</v>
      </c>
    </row>
    <row r="315" spans="2:10">
      <c r="B315">
        <v>202211</v>
      </c>
      <c r="C315" t="s">
        <v>109</v>
      </c>
      <c r="D315" t="s">
        <v>90</v>
      </c>
      <c r="E315">
        <v>10</v>
      </c>
      <c r="F315" t="s">
        <v>119</v>
      </c>
      <c r="G315" s="116">
        <v>19777420719</v>
      </c>
      <c r="I315" s="119">
        <f t="shared" si="9"/>
        <v>1</v>
      </c>
      <c r="J315" s="118">
        <f t="shared" si="8"/>
        <v>19777420719</v>
      </c>
    </row>
    <row r="316" spans="2:10">
      <c r="B316">
        <v>202211</v>
      </c>
      <c r="C316" t="s">
        <v>109</v>
      </c>
      <c r="D316" t="s">
        <v>90</v>
      </c>
      <c r="E316">
        <v>10</v>
      </c>
      <c r="F316" t="s">
        <v>118</v>
      </c>
      <c r="G316" s="116">
        <v>37129193</v>
      </c>
      <c r="I316" s="119">
        <f t="shared" si="9"/>
        <v>1</v>
      </c>
      <c r="J316" s="118">
        <f t="shared" si="8"/>
        <v>37129193</v>
      </c>
    </row>
    <row r="317" spans="2:10">
      <c r="B317">
        <v>202211</v>
      </c>
      <c r="C317" t="s">
        <v>109</v>
      </c>
      <c r="D317" t="s">
        <v>90</v>
      </c>
      <c r="E317">
        <v>30</v>
      </c>
      <c r="F317" t="s">
        <v>119</v>
      </c>
      <c r="G317" s="116">
        <v>300000</v>
      </c>
      <c r="I317" s="119">
        <f t="shared" si="9"/>
        <v>3</v>
      </c>
      <c r="J317" s="118">
        <f t="shared" si="8"/>
        <v>100000</v>
      </c>
    </row>
    <row r="318" spans="2:10">
      <c r="B318">
        <v>202211</v>
      </c>
      <c r="C318" t="s">
        <v>109</v>
      </c>
      <c r="D318" t="s">
        <v>90</v>
      </c>
      <c r="E318">
        <v>90</v>
      </c>
      <c r="F318" t="s">
        <v>119</v>
      </c>
      <c r="G318" s="116">
        <v>3044720</v>
      </c>
      <c r="I318" s="119">
        <f t="shared" si="9"/>
        <v>12</v>
      </c>
      <c r="J318" s="118">
        <f t="shared" si="8"/>
        <v>253726.66666666666</v>
      </c>
    </row>
    <row r="319" spans="2:10">
      <c r="B319">
        <v>202211</v>
      </c>
      <c r="C319" t="s">
        <v>91</v>
      </c>
      <c r="D319" t="s">
        <v>91</v>
      </c>
      <c r="E319">
        <v>10</v>
      </c>
      <c r="F319" t="s">
        <v>119</v>
      </c>
      <c r="G319" s="116">
        <v>2217828262</v>
      </c>
      <c r="I319" s="119">
        <f t="shared" si="9"/>
        <v>1</v>
      </c>
      <c r="J319" s="118">
        <f t="shared" si="8"/>
        <v>2217828262</v>
      </c>
    </row>
    <row r="320" spans="2:10">
      <c r="B320">
        <v>202211</v>
      </c>
      <c r="C320" t="s">
        <v>91</v>
      </c>
      <c r="D320" t="s">
        <v>91</v>
      </c>
      <c r="E320">
        <v>10</v>
      </c>
      <c r="F320" t="s">
        <v>118</v>
      </c>
      <c r="G320" s="116">
        <v>17356981</v>
      </c>
      <c r="I320" s="119">
        <f t="shared" si="9"/>
        <v>1</v>
      </c>
      <c r="J320" s="118">
        <f t="shared" si="8"/>
        <v>17356981</v>
      </c>
    </row>
    <row r="321" spans="2:10">
      <c r="B321">
        <v>202211</v>
      </c>
      <c r="C321" t="s">
        <v>91</v>
      </c>
      <c r="D321" t="s">
        <v>91</v>
      </c>
      <c r="E321">
        <v>30</v>
      </c>
      <c r="F321" t="s">
        <v>119</v>
      </c>
      <c r="G321" s="116">
        <v>2000000</v>
      </c>
      <c r="I321" s="119">
        <f t="shared" si="9"/>
        <v>3</v>
      </c>
      <c r="J321" s="118">
        <f t="shared" si="8"/>
        <v>666666.66666666663</v>
      </c>
    </row>
    <row r="322" spans="2:10">
      <c r="B322">
        <v>202211</v>
      </c>
      <c r="C322" t="s">
        <v>91</v>
      </c>
      <c r="D322" t="s">
        <v>91</v>
      </c>
      <c r="E322">
        <v>90</v>
      </c>
      <c r="F322" t="s">
        <v>119</v>
      </c>
      <c r="G322" s="116">
        <v>108000</v>
      </c>
      <c r="I322" s="119">
        <f t="shared" si="9"/>
        <v>12</v>
      </c>
      <c r="J322" s="118">
        <f t="shared" si="8"/>
        <v>9000</v>
      </c>
    </row>
    <row r="323" spans="2:10">
      <c r="B323">
        <v>202211</v>
      </c>
      <c r="C323" t="s">
        <v>91</v>
      </c>
      <c r="D323" t="s">
        <v>91</v>
      </c>
      <c r="E323">
        <v>90</v>
      </c>
      <c r="F323" t="s">
        <v>118</v>
      </c>
      <c r="G323" s="116">
        <v>150000</v>
      </c>
      <c r="I323" s="119">
        <f t="shared" si="9"/>
        <v>12</v>
      </c>
      <c r="J323" s="118">
        <f t="shared" ref="J323:J386" si="10">+IF(E323=0,0,G323/I323)</f>
        <v>12500</v>
      </c>
    </row>
    <row r="324" spans="2:10">
      <c r="B324">
        <v>202211</v>
      </c>
      <c r="C324" t="s">
        <v>114</v>
      </c>
      <c r="D324" t="s">
        <v>93</v>
      </c>
      <c r="E324">
        <v>10</v>
      </c>
      <c r="F324" t="s">
        <v>119</v>
      </c>
      <c r="G324" s="116">
        <v>3372007716</v>
      </c>
      <c r="I324" s="119">
        <f t="shared" ref="I324:I387" si="11">+VLOOKUP($E324,$N$2:$P$7,3,0)</f>
        <v>1</v>
      </c>
      <c r="J324" s="118">
        <f t="shared" si="10"/>
        <v>3372007716</v>
      </c>
    </row>
    <row r="325" spans="2:10">
      <c r="B325">
        <v>202211</v>
      </c>
      <c r="C325" t="s">
        <v>114</v>
      </c>
      <c r="D325" t="s">
        <v>93</v>
      </c>
      <c r="E325">
        <v>10</v>
      </c>
      <c r="F325" t="s">
        <v>118</v>
      </c>
      <c r="G325" s="116">
        <v>20127400</v>
      </c>
      <c r="I325" s="119">
        <f t="shared" si="11"/>
        <v>1</v>
      </c>
      <c r="J325" s="118">
        <f t="shared" si="10"/>
        <v>20127400</v>
      </c>
    </row>
    <row r="326" spans="2:10">
      <c r="B326">
        <v>202211</v>
      </c>
      <c r="C326" t="s">
        <v>114</v>
      </c>
      <c r="D326" t="s">
        <v>93</v>
      </c>
      <c r="E326">
        <v>90</v>
      </c>
      <c r="F326" t="s">
        <v>119</v>
      </c>
      <c r="G326" s="116">
        <v>13400000</v>
      </c>
      <c r="I326" s="119">
        <f t="shared" si="11"/>
        <v>12</v>
      </c>
      <c r="J326" s="118">
        <f t="shared" si="10"/>
        <v>1116666.6666666667</v>
      </c>
    </row>
    <row r="327" spans="2:10">
      <c r="B327">
        <v>202211</v>
      </c>
      <c r="C327" t="s">
        <v>114</v>
      </c>
      <c r="D327" t="s">
        <v>92</v>
      </c>
      <c r="E327">
        <v>0</v>
      </c>
      <c r="F327" t="s">
        <v>119</v>
      </c>
      <c r="G327" s="116">
        <v>0</v>
      </c>
      <c r="I327" s="119" t="str">
        <f t="shared" si="11"/>
        <v>일시납</v>
      </c>
      <c r="J327" s="118">
        <f t="shared" si="10"/>
        <v>0</v>
      </c>
    </row>
    <row r="328" spans="2:10">
      <c r="B328">
        <v>202211</v>
      </c>
      <c r="C328" t="s">
        <v>114</v>
      </c>
      <c r="D328" t="s">
        <v>92</v>
      </c>
      <c r="E328">
        <v>0</v>
      </c>
      <c r="F328" t="s">
        <v>118</v>
      </c>
      <c r="G328" s="116">
        <v>37945028051</v>
      </c>
      <c r="I328" s="119" t="str">
        <f t="shared" si="11"/>
        <v>일시납</v>
      </c>
      <c r="J328" s="118">
        <f t="shared" si="10"/>
        <v>0</v>
      </c>
    </row>
    <row r="329" spans="2:10">
      <c r="B329">
        <v>202211</v>
      </c>
      <c r="C329" t="s">
        <v>114</v>
      </c>
      <c r="D329" t="s">
        <v>92</v>
      </c>
      <c r="E329">
        <v>10</v>
      </c>
      <c r="F329" t="s">
        <v>119</v>
      </c>
      <c r="G329" s="116">
        <v>4823871655</v>
      </c>
      <c r="I329" s="119">
        <f t="shared" si="11"/>
        <v>1</v>
      </c>
      <c r="J329" s="118">
        <f t="shared" si="10"/>
        <v>4823871655</v>
      </c>
    </row>
    <row r="330" spans="2:10">
      <c r="B330">
        <v>202211</v>
      </c>
      <c r="C330" t="s">
        <v>114</v>
      </c>
      <c r="D330" t="s">
        <v>92</v>
      </c>
      <c r="E330">
        <v>10</v>
      </c>
      <c r="F330" t="s">
        <v>118</v>
      </c>
      <c r="G330" s="116">
        <v>-1050000</v>
      </c>
      <c r="I330" s="119">
        <f t="shared" si="11"/>
        <v>1</v>
      </c>
      <c r="J330" s="118">
        <f t="shared" si="10"/>
        <v>-1050000</v>
      </c>
    </row>
    <row r="331" spans="2:10">
      <c r="B331">
        <v>202211</v>
      </c>
      <c r="C331" t="s">
        <v>114</v>
      </c>
      <c r="D331" t="s">
        <v>92</v>
      </c>
      <c r="E331">
        <v>60</v>
      </c>
      <c r="F331" t="s">
        <v>119</v>
      </c>
      <c r="G331" s="116">
        <v>600000</v>
      </c>
      <c r="I331" s="119">
        <f t="shared" si="11"/>
        <v>6</v>
      </c>
      <c r="J331" s="118">
        <f t="shared" si="10"/>
        <v>100000</v>
      </c>
    </row>
    <row r="332" spans="2:10">
      <c r="B332">
        <v>202211</v>
      </c>
      <c r="C332" t="s">
        <v>114</v>
      </c>
      <c r="D332" t="s">
        <v>92</v>
      </c>
      <c r="E332">
        <v>90</v>
      </c>
      <c r="F332" t="s">
        <v>119</v>
      </c>
      <c r="G332" s="116">
        <v>0</v>
      </c>
      <c r="I332" s="119">
        <f t="shared" si="11"/>
        <v>12</v>
      </c>
      <c r="J332" s="118">
        <f t="shared" si="10"/>
        <v>0</v>
      </c>
    </row>
    <row r="333" spans="2:10">
      <c r="B333">
        <v>202211</v>
      </c>
      <c r="C333" t="s">
        <v>114</v>
      </c>
      <c r="D333" t="s">
        <v>92</v>
      </c>
      <c r="E333">
        <v>90</v>
      </c>
      <c r="F333" t="s">
        <v>118</v>
      </c>
      <c r="G333" s="116">
        <v>0</v>
      </c>
      <c r="I333" s="119">
        <f t="shared" si="11"/>
        <v>12</v>
      </c>
      <c r="J333" s="118">
        <f t="shared" si="10"/>
        <v>0</v>
      </c>
    </row>
    <row r="334" spans="2:10">
      <c r="B334">
        <v>202212</v>
      </c>
      <c r="C334" t="s">
        <v>109</v>
      </c>
      <c r="D334" t="s">
        <v>89</v>
      </c>
      <c r="E334">
        <v>0</v>
      </c>
      <c r="F334" t="s">
        <v>118</v>
      </c>
      <c r="G334" s="116">
        <v>312091</v>
      </c>
      <c r="I334" s="119" t="str">
        <f t="shared" si="11"/>
        <v>일시납</v>
      </c>
      <c r="J334" s="118">
        <f t="shared" si="10"/>
        <v>0</v>
      </c>
    </row>
    <row r="335" spans="2:10">
      <c r="B335">
        <v>202212</v>
      </c>
      <c r="C335" t="s">
        <v>109</v>
      </c>
      <c r="D335" t="s">
        <v>89</v>
      </c>
      <c r="E335">
        <v>10</v>
      </c>
      <c r="F335" t="s">
        <v>119</v>
      </c>
      <c r="G335" s="116">
        <v>125108940700</v>
      </c>
      <c r="I335" s="119">
        <f t="shared" si="11"/>
        <v>1</v>
      </c>
      <c r="J335" s="118">
        <f t="shared" si="10"/>
        <v>125108940700</v>
      </c>
    </row>
    <row r="336" spans="2:10">
      <c r="B336">
        <v>202212</v>
      </c>
      <c r="C336" t="s">
        <v>109</v>
      </c>
      <c r="D336" t="s">
        <v>89</v>
      </c>
      <c r="E336">
        <v>10</v>
      </c>
      <c r="F336" t="s">
        <v>118</v>
      </c>
      <c r="G336" s="116">
        <v>2602206024</v>
      </c>
      <c r="I336" s="119">
        <f t="shared" si="11"/>
        <v>1</v>
      </c>
      <c r="J336" s="118">
        <f t="shared" si="10"/>
        <v>2602206024</v>
      </c>
    </row>
    <row r="337" spans="2:10">
      <c r="B337">
        <v>202212</v>
      </c>
      <c r="C337" t="s">
        <v>109</v>
      </c>
      <c r="D337" t="s">
        <v>89</v>
      </c>
      <c r="E337">
        <v>30</v>
      </c>
      <c r="F337" t="s">
        <v>119</v>
      </c>
      <c r="G337" s="116">
        <v>623420</v>
      </c>
      <c r="I337" s="119">
        <f t="shared" si="11"/>
        <v>3</v>
      </c>
      <c r="J337" s="118">
        <f t="shared" si="10"/>
        <v>207806.66666666666</v>
      </c>
    </row>
    <row r="338" spans="2:10">
      <c r="B338">
        <v>202212</v>
      </c>
      <c r="C338" t="s">
        <v>109</v>
      </c>
      <c r="D338" t="s">
        <v>89</v>
      </c>
      <c r="E338">
        <v>60</v>
      </c>
      <c r="F338" t="s">
        <v>119</v>
      </c>
      <c r="G338" s="116">
        <v>1866380</v>
      </c>
      <c r="I338" s="119">
        <f t="shared" si="11"/>
        <v>6</v>
      </c>
      <c r="J338" s="118">
        <f t="shared" si="10"/>
        <v>311063.33333333331</v>
      </c>
    </row>
    <row r="339" spans="2:10">
      <c r="B339">
        <v>202212</v>
      </c>
      <c r="C339" t="s">
        <v>109</v>
      </c>
      <c r="D339" t="s">
        <v>89</v>
      </c>
      <c r="E339">
        <v>90</v>
      </c>
      <c r="F339" t="s">
        <v>119</v>
      </c>
      <c r="G339" s="116">
        <v>3568605</v>
      </c>
      <c r="I339" s="119">
        <f t="shared" si="11"/>
        <v>12</v>
      </c>
      <c r="J339" s="118">
        <f t="shared" si="10"/>
        <v>297383.75</v>
      </c>
    </row>
    <row r="340" spans="2:10">
      <c r="B340">
        <v>202212</v>
      </c>
      <c r="C340" t="s">
        <v>109</v>
      </c>
      <c r="D340" t="s">
        <v>89</v>
      </c>
      <c r="E340">
        <v>90</v>
      </c>
      <c r="F340" t="s">
        <v>118</v>
      </c>
      <c r="G340" s="116">
        <v>0</v>
      </c>
      <c r="I340" s="119">
        <f t="shared" si="11"/>
        <v>12</v>
      </c>
      <c r="J340" s="118">
        <f t="shared" si="10"/>
        <v>0</v>
      </c>
    </row>
    <row r="341" spans="2:10">
      <c r="B341">
        <v>202212</v>
      </c>
      <c r="C341" t="s">
        <v>109</v>
      </c>
      <c r="D341" t="s">
        <v>15</v>
      </c>
      <c r="E341">
        <v>10</v>
      </c>
      <c r="F341" t="s">
        <v>119</v>
      </c>
      <c r="G341" s="116">
        <v>13577464654</v>
      </c>
      <c r="I341" s="119">
        <f t="shared" si="11"/>
        <v>1</v>
      </c>
      <c r="J341" s="118">
        <f t="shared" si="10"/>
        <v>13577464654</v>
      </c>
    </row>
    <row r="342" spans="2:10">
      <c r="B342">
        <v>202212</v>
      </c>
      <c r="C342" t="s">
        <v>109</v>
      </c>
      <c r="D342" t="s">
        <v>15</v>
      </c>
      <c r="E342">
        <v>10</v>
      </c>
      <c r="F342" t="s">
        <v>118</v>
      </c>
      <c r="G342" s="116">
        <v>920189921</v>
      </c>
      <c r="I342" s="119">
        <f t="shared" si="11"/>
        <v>1</v>
      </c>
      <c r="J342" s="118">
        <f t="shared" si="10"/>
        <v>920189921</v>
      </c>
    </row>
    <row r="343" spans="2:10">
      <c r="B343">
        <v>202212</v>
      </c>
      <c r="C343" t="s">
        <v>109</v>
      </c>
      <c r="D343" t="s">
        <v>15</v>
      </c>
      <c r="E343">
        <v>30</v>
      </c>
      <c r="F343" t="s">
        <v>119</v>
      </c>
      <c r="G343" s="116">
        <v>210000</v>
      </c>
      <c r="I343" s="119">
        <f t="shared" si="11"/>
        <v>3</v>
      </c>
      <c r="J343" s="118">
        <f t="shared" si="10"/>
        <v>70000</v>
      </c>
    </row>
    <row r="344" spans="2:10">
      <c r="B344">
        <v>202212</v>
      </c>
      <c r="C344" t="s">
        <v>109</v>
      </c>
      <c r="D344" t="s">
        <v>15</v>
      </c>
      <c r="E344">
        <v>90</v>
      </c>
      <c r="F344" t="s">
        <v>119</v>
      </c>
      <c r="G344" s="116">
        <v>1261831</v>
      </c>
      <c r="I344" s="119">
        <f t="shared" si="11"/>
        <v>12</v>
      </c>
      <c r="J344" s="118">
        <f t="shared" si="10"/>
        <v>105152.58333333333</v>
      </c>
    </row>
    <row r="345" spans="2:10">
      <c r="B345">
        <v>202212</v>
      </c>
      <c r="C345" t="s">
        <v>109</v>
      </c>
      <c r="D345" t="s">
        <v>15</v>
      </c>
      <c r="E345">
        <v>90</v>
      </c>
      <c r="F345" t="s">
        <v>118</v>
      </c>
      <c r="G345" s="116">
        <v>1394838</v>
      </c>
      <c r="I345" s="119">
        <f t="shared" si="11"/>
        <v>12</v>
      </c>
      <c r="J345" s="118">
        <f t="shared" si="10"/>
        <v>116236.5</v>
      </c>
    </row>
    <row r="346" spans="2:10">
      <c r="B346">
        <v>202212</v>
      </c>
      <c r="C346" t="s">
        <v>109</v>
      </c>
      <c r="D346" t="s">
        <v>90</v>
      </c>
      <c r="E346">
        <v>10</v>
      </c>
      <c r="F346" t="s">
        <v>119</v>
      </c>
      <c r="G346" s="116">
        <v>19783106037</v>
      </c>
      <c r="I346" s="119">
        <f t="shared" si="11"/>
        <v>1</v>
      </c>
      <c r="J346" s="118">
        <f t="shared" si="10"/>
        <v>19783106037</v>
      </c>
    </row>
    <row r="347" spans="2:10">
      <c r="B347">
        <v>202212</v>
      </c>
      <c r="C347" t="s">
        <v>109</v>
      </c>
      <c r="D347" t="s">
        <v>90</v>
      </c>
      <c r="E347">
        <v>10</v>
      </c>
      <c r="F347" t="s">
        <v>118</v>
      </c>
      <c r="G347" s="116">
        <v>38072871</v>
      </c>
      <c r="I347" s="119">
        <f t="shared" si="11"/>
        <v>1</v>
      </c>
      <c r="J347" s="118">
        <f t="shared" si="10"/>
        <v>38072871</v>
      </c>
    </row>
    <row r="348" spans="2:10">
      <c r="B348">
        <v>202212</v>
      </c>
      <c r="C348" t="s">
        <v>109</v>
      </c>
      <c r="D348" t="s">
        <v>90</v>
      </c>
      <c r="E348">
        <v>30</v>
      </c>
      <c r="F348" t="s">
        <v>119</v>
      </c>
      <c r="G348" s="116">
        <v>105200</v>
      </c>
      <c r="I348" s="119">
        <f t="shared" si="11"/>
        <v>3</v>
      </c>
      <c r="J348" s="118">
        <f t="shared" si="10"/>
        <v>35066.666666666664</v>
      </c>
    </row>
    <row r="349" spans="2:10">
      <c r="B349">
        <v>202212</v>
      </c>
      <c r="C349" t="s">
        <v>109</v>
      </c>
      <c r="D349" t="s">
        <v>90</v>
      </c>
      <c r="E349">
        <v>90</v>
      </c>
      <c r="F349" t="s">
        <v>119</v>
      </c>
      <c r="G349" s="116">
        <v>5595487</v>
      </c>
      <c r="I349" s="119">
        <f t="shared" si="11"/>
        <v>12</v>
      </c>
      <c r="J349" s="118">
        <f t="shared" si="10"/>
        <v>466290.58333333331</v>
      </c>
    </row>
    <row r="350" spans="2:10">
      <c r="B350">
        <v>202212</v>
      </c>
      <c r="C350" t="s">
        <v>109</v>
      </c>
      <c r="D350" t="s">
        <v>90</v>
      </c>
      <c r="E350">
        <v>90</v>
      </c>
      <c r="F350" t="s">
        <v>118</v>
      </c>
      <c r="G350" s="116">
        <v>0</v>
      </c>
      <c r="I350" s="119">
        <f t="shared" si="11"/>
        <v>12</v>
      </c>
      <c r="J350" s="118">
        <f t="shared" si="10"/>
        <v>0</v>
      </c>
    </row>
    <row r="351" spans="2:10">
      <c r="B351">
        <v>202212</v>
      </c>
      <c r="C351" t="s">
        <v>91</v>
      </c>
      <c r="D351" t="s">
        <v>91</v>
      </c>
      <c r="E351">
        <v>10</v>
      </c>
      <c r="F351" t="s">
        <v>119</v>
      </c>
      <c r="G351" s="116">
        <v>2156855642</v>
      </c>
      <c r="I351" s="119">
        <f t="shared" si="11"/>
        <v>1</v>
      </c>
      <c r="J351" s="118">
        <f t="shared" si="10"/>
        <v>2156855642</v>
      </c>
    </row>
    <row r="352" spans="2:10">
      <c r="B352">
        <v>202212</v>
      </c>
      <c r="C352" t="s">
        <v>91</v>
      </c>
      <c r="D352" t="s">
        <v>91</v>
      </c>
      <c r="E352">
        <v>10</v>
      </c>
      <c r="F352" t="s">
        <v>118</v>
      </c>
      <c r="G352" s="116">
        <v>14130163</v>
      </c>
      <c r="I352" s="119">
        <f t="shared" si="11"/>
        <v>1</v>
      </c>
      <c r="J352" s="118">
        <f t="shared" si="10"/>
        <v>14130163</v>
      </c>
    </row>
    <row r="353" spans="2:10">
      <c r="B353">
        <v>202212</v>
      </c>
      <c r="C353" t="s">
        <v>91</v>
      </c>
      <c r="D353" t="s">
        <v>91</v>
      </c>
      <c r="E353">
        <v>30</v>
      </c>
      <c r="F353" t="s">
        <v>119</v>
      </c>
      <c r="G353" s="116">
        <v>530000</v>
      </c>
      <c r="I353" s="119">
        <f t="shared" si="11"/>
        <v>3</v>
      </c>
      <c r="J353" s="118">
        <f t="shared" si="10"/>
        <v>176666.66666666666</v>
      </c>
    </row>
    <row r="354" spans="2:10">
      <c r="B354">
        <v>202212</v>
      </c>
      <c r="C354" t="s">
        <v>91</v>
      </c>
      <c r="D354" t="s">
        <v>91</v>
      </c>
      <c r="E354">
        <v>90</v>
      </c>
      <c r="F354" t="s">
        <v>119</v>
      </c>
      <c r="G354" s="116">
        <v>500500</v>
      </c>
      <c r="I354" s="119">
        <f t="shared" si="11"/>
        <v>12</v>
      </c>
      <c r="J354" s="118">
        <f t="shared" si="10"/>
        <v>41708.333333333336</v>
      </c>
    </row>
    <row r="355" spans="2:10">
      <c r="B355">
        <v>202212</v>
      </c>
      <c r="C355" t="s">
        <v>91</v>
      </c>
      <c r="D355" t="s">
        <v>91</v>
      </c>
      <c r="E355">
        <v>90</v>
      </c>
      <c r="F355" t="s">
        <v>118</v>
      </c>
      <c r="G355" s="116">
        <v>0</v>
      </c>
      <c r="I355" s="119">
        <f t="shared" si="11"/>
        <v>12</v>
      </c>
      <c r="J355" s="118">
        <f t="shared" si="10"/>
        <v>0</v>
      </c>
    </row>
    <row r="356" spans="2:10">
      <c r="B356">
        <v>202212</v>
      </c>
      <c r="C356" t="s">
        <v>114</v>
      </c>
      <c r="D356" t="s">
        <v>93</v>
      </c>
      <c r="E356">
        <v>10</v>
      </c>
      <c r="F356" t="s">
        <v>119</v>
      </c>
      <c r="G356" s="116">
        <v>3442053026</v>
      </c>
      <c r="I356" s="119">
        <f t="shared" si="11"/>
        <v>1</v>
      </c>
      <c r="J356" s="118">
        <f t="shared" si="10"/>
        <v>3442053026</v>
      </c>
    </row>
    <row r="357" spans="2:10">
      <c r="B357">
        <v>202212</v>
      </c>
      <c r="C357" t="s">
        <v>114</v>
      </c>
      <c r="D357" t="s">
        <v>93</v>
      </c>
      <c r="E357">
        <v>10</v>
      </c>
      <c r="F357" t="s">
        <v>118</v>
      </c>
      <c r="G357" s="116">
        <v>8218800</v>
      </c>
      <c r="I357" s="119">
        <f t="shared" si="11"/>
        <v>1</v>
      </c>
      <c r="J357" s="118">
        <f t="shared" si="10"/>
        <v>8218800</v>
      </c>
    </row>
    <row r="358" spans="2:10">
      <c r="B358">
        <v>202212</v>
      </c>
      <c r="C358" t="s">
        <v>114</v>
      </c>
      <c r="D358" t="s">
        <v>93</v>
      </c>
      <c r="E358">
        <v>90</v>
      </c>
      <c r="F358" t="s">
        <v>119</v>
      </c>
      <c r="G358" s="116">
        <v>22580000</v>
      </c>
      <c r="I358" s="119">
        <f t="shared" si="11"/>
        <v>12</v>
      </c>
      <c r="J358" s="118">
        <f t="shared" si="10"/>
        <v>1881666.6666666667</v>
      </c>
    </row>
    <row r="359" spans="2:10">
      <c r="B359">
        <v>202212</v>
      </c>
      <c r="C359" t="s">
        <v>114</v>
      </c>
      <c r="D359" t="s">
        <v>92</v>
      </c>
      <c r="E359">
        <v>0</v>
      </c>
      <c r="F359" t="s">
        <v>119</v>
      </c>
      <c r="G359" s="116">
        <v>0</v>
      </c>
      <c r="I359" s="119" t="str">
        <f t="shared" si="11"/>
        <v>일시납</v>
      </c>
      <c r="J359" s="118">
        <f t="shared" si="10"/>
        <v>0</v>
      </c>
    </row>
    <row r="360" spans="2:10">
      <c r="B360">
        <v>202212</v>
      </c>
      <c r="C360" t="s">
        <v>114</v>
      </c>
      <c r="D360" t="s">
        <v>92</v>
      </c>
      <c r="E360">
        <v>0</v>
      </c>
      <c r="F360" t="s">
        <v>118</v>
      </c>
      <c r="G360" s="116">
        <v>26600638798</v>
      </c>
      <c r="I360" s="119" t="str">
        <f t="shared" si="11"/>
        <v>일시납</v>
      </c>
      <c r="J360" s="118">
        <f t="shared" si="10"/>
        <v>0</v>
      </c>
    </row>
    <row r="361" spans="2:10">
      <c r="B361">
        <v>202212</v>
      </c>
      <c r="C361" t="s">
        <v>114</v>
      </c>
      <c r="D361" t="s">
        <v>92</v>
      </c>
      <c r="E361">
        <v>10</v>
      </c>
      <c r="F361" t="s">
        <v>119</v>
      </c>
      <c r="G361" s="116">
        <v>4499426912</v>
      </c>
      <c r="I361" s="119">
        <f t="shared" si="11"/>
        <v>1</v>
      </c>
      <c r="J361" s="118">
        <f t="shared" si="10"/>
        <v>4499426912</v>
      </c>
    </row>
    <row r="362" spans="2:10">
      <c r="B362">
        <v>202212</v>
      </c>
      <c r="C362" t="s">
        <v>114</v>
      </c>
      <c r="D362" t="s">
        <v>92</v>
      </c>
      <c r="E362">
        <v>10</v>
      </c>
      <c r="F362" t="s">
        <v>118</v>
      </c>
      <c r="G362" s="116">
        <v>-560000</v>
      </c>
      <c r="I362" s="119">
        <f t="shared" si="11"/>
        <v>1</v>
      </c>
      <c r="J362" s="118">
        <f t="shared" si="10"/>
        <v>-560000</v>
      </c>
    </row>
    <row r="363" spans="2:10">
      <c r="B363">
        <v>202212</v>
      </c>
      <c r="C363" t="s">
        <v>114</v>
      </c>
      <c r="D363" t="s">
        <v>92</v>
      </c>
      <c r="E363">
        <v>90</v>
      </c>
      <c r="F363" t="s">
        <v>119</v>
      </c>
      <c r="G363" s="116">
        <v>2000000</v>
      </c>
      <c r="I363" s="119">
        <f t="shared" si="11"/>
        <v>12</v>
      </c>
      <c r="J363" s="118">
        <f t="shared" si="10"/>
        <v>166666.66666666666</v>
      </c>
    </row>
    <row r="364" spans="2:10">
      <c r="B364">
        <v>202212</v>
      </c>
      <c r="C364" t="s">
        <v>114</v>
      </c>
      <c r="D364" t="s">
        <v>92</v>
      </c>
      <c r="E364">
        <v>90</v>
      </c>
      <c r="F364" t="s">
        <v>118</v>
      </c>
      <c r="G364" s="116">
        <v>0</v>
      </c>
      <c r="I364" s="119">
        <f t="shared" si="11"/>
        <v>12</v>
      </c>
      <c r="J364" s="118">
        <f t="shared" si="10"/>
        <v>0</v>
      </c>
    </row>
    <row r="365" spans="2:10">
      <c r="B365">
        <v>202301</v>
      </c>
      <c r="C365" t="s">
        <v>109</v>
      </c>
      <c r="D365" t="s">
        <v>89</v>
      </c>
      <c r="E365">
        <v>0</v>
      </c>
      <c r="F365" t="s">
        <v>118</v>
      </c>
      <c r="G365" s="116">
        <v>267298</v>
      </c>
      <c r="I365" s="119" t="str">
        <f t="shared" si="11"/>
        <v>일시납</v>
      </c>
      <c r="J365" s="118">
        <f t="shared" si="10"/>
        <v>0</v>
      </c>
    </row>
    <row r="366" spans="2:10">
      <c r="B366">
        <v>202301</v>
      </c>
      <c r="C366" t="s">
        <v>109</v>
      </c>
      <c r="D366" t="s">
        <v>89</v>
      </c>
      <c r="E366">
        <v>10</v>
      </c>
      <c r="F366" t="s">
        <v>119</v>
      </c>
      <c r="G366" s="116">
        <v>125912318133</v>
      </c>
      <c r="I366" s="119">
        <f t="shared" si="11"/>
        <v>1</v>
      </c>
      <c r="J366" s="118">
        <f t="shared" si="10"/>
        <v>125912318133</v>
      </c>
    </row>
    <row r="367" spans="2:10">
      <c r="B367">
        <v>202301</v>
      </c>
      <c r="C367" t="s">
        <v>109</v>
      </c>
      <c r="D367" t="s">
        <v>89</v>
      </c>
      <c r="E367">
        <v>10</v>
      </c>
      <c r="F367" t="s">
        <v>118</v>
      </c>
      <c r="G367" s="116">
        <v>2910132755</v>
      </c>
      <c r="I367" s="119">
        <f t="shared" si="11"/>
        <v>1</v>
      </c>
      <c r="J367" s="118">
        <f t="shared" si="10"/>
        <v>2910132755</v>
      </c>
    </row>
    <row r="368" spans="2:10">
      <c r="B368">
        <v>202301</v>
      </c>
      <c r="C368" t="s">
        <v>109</v>
      </c>
      <c r="D368" t="s">
        <v>89</v>
      </c>
      <c r="E368">
        <v>20</v>
      </c>
      <c r="F368" t="s">
        <v>119</v>
      </c>
      <c r="G368" s="116">
        <v>102980</v>
      </c>
      <c r="I368" s="119">
        <f t="shared" si="11"/>
        <v>2</v>
      </c>
      <c r="J368" s="118">
        <f t="shared" si="10"/>
        <v>51490</v>
      </c>
    </row>
    <row r="369" spans="2:10">
      <c r="B369">
        <v>202301</v>
      </c>
      <c r="C369" t="s">
        <v>109</v>
      </c>
      <c r="D369" t="s">
        <v>89</v>
      </c>
      <c r="E369">
        <v>30</v>
      </c>
      <c r="F369" t="s">
        <v>119</v>
      </c>
      <c r="G369" s="116">
        <v>820980</v>
      </c>
      <c r="I369" s="119">
        <f t="shared" si="11"/>
        <v>3</v>
      </c>
      <c r="J369" s="118">
        <f t="shared" si="10"/>
        <v>273660</v>
      </c>
    </row>
    <row r="370" spans="2:10">
      <c r="B370">
        <v>202301</v>
      </c>
      <c r="C370" t="s">
        <v>109</v>
      </c>
      <c r="D370" t="s">
        <v>89</v>
      </c>
      <c r="E370">
        <v>60</v>
      </c>
      <c r="F370" t="s">
        <v>119</v>
      </c>
      <c r="G370" s="116">
        <v>510993</v>
      </c>
      <c r="I370" s="119">
        <f t="shared" si="11"/>
        <v>6</v>
      </c>
      <c r="J370" s="118">
        <f t="shared" si="10"/>
        <v>85165.5</v>
      </c>
    </row>
    <row r="371" spans="2:10">
      <c r="B371">
        <v>202301</v>
      </c>
      <c r="C371" t="s">
        <v>109</v>
      </c>
      <c r="D371" t="s">
        <v>89</v>
      </c>
      <c r="E371">
        <v>90</v>
      </c>
      <c r="F371" t="s">
        <v>119</v>
      </c>
      <c r="G371" s="116">
        <v>15286725</v>
      </c>
      <c r="I371" s="119">
        <f t="shared" si="11"/>
        <v>12</v>
      </c>
      <c r="J371" s="118">
        <f t="shared" si="10"/>
        <v>1273893.75</v>
      </c>
    </row>
    <row r="372" spans="2:10">
      <c r="B372">
        <v>202301</v>
      </c>
      <c r="C372" t="s">
        <v>109</v>
      </c>
      <c r="D372" t="s">
        <v>15</v>
      </c>
      <c r="E372">
        <v>10</v>
      </c>
      <c r="F372" t="s">
        <v>119</v>
      </c>
      <c r="G372" s="116">
        <v>14113126217</v>
      </c>
      <c r="I372" s="119">
        <f t="shared" si="11"/>
        <v>1</v>
      </c>
      <c r="J372" s="118">
        <f t="shared" si="10"/>
        <v>14113126217</v>
      </c>
    </row>
    <row r="373" spans="2:10">
      <c r="B373">
        <v>202301</v>
      </c>
      <c r="C373" t="s">
        <v>109</v>
      </c>
      <c r="D373" t="s">
        <v>15</v>
      </c>
      <c r="E373">
        <v>10</v>
      </c>
      <c r="F373" t="s">
        <v>118</v>
      </c>
      <c r="G373" s="116">
        <v>399375666</v>
      </c>
      <c r="I373" s="119">
        <f t="shared" si="11"/>
        <v>1</v>
      </c>
      <c r="J373" s="118">
        <f t="shared" si="10"/>
        <v>399375666</v>
      </c>
    </row>
    <row r="374" spans="2:10">
      <c r="B374">
        <v>202301</v>
      </c>
      <c r="C374" t="s">
        <v>109</v>
      </c>
      <c r="D374" t="s">
        <v>15</v>
      </c>
      <c r="E374">
        <v>30</v>
      </c>
      <c r="F374" t="s">
        <v>119</v>
      </c>
      <c r="G374" s="116">
        <v>1643375</v>
      </c>
      <c r="I374" s="119">
        <f t="shared" si="11"/>
        <v>3</v>
      </c>
      <c r="J374" s="118">
        <f t="shared" si="10"/>
        <v>547791.66666666663</v>
      </c>
    </row>
    <row r="375" spans="2:10">
      <c r="B375">
        <v>202301</v>
      </c>
      <c r="C375" t="s">
        <v>109</v>
      </c>
      <c r="D375" t="s">
        <v>15</v>
      </c>
      <c r="E375">
        <v>90</v>
      </c>
      <c r="F375" t="s">
        <v>119</v>
      </c>
      <c r="G375" s="116">
        <v>1511063</v>
      </c>
      <c r="I375" s="119">
        <f t="shared" si="11"/>
        <v>12</v>
      </c>
      <c r="J375" s="118">
        <f t="shared" si="10"/>
        <v>125921.91666666667</v>
      </c>
    </row>
    <row r="376" spans="2:10">
      <c r="B376">
        <v>202301</v>
      </c>
      <c r="C376" t="s">
        <v>109</v>
      </c>
      <c r="D376" t="s">
        <v>15</v>
      </c>
      <c r="E376">
        <v>90</v>
      </c>
      <c r="F376" t="s">
        <v>118</v>
      </c>
      <c r="G376" s="116">
        <v>5262966</v>
      </c>
      <c r="I376" s="119">
        <f t="shared" si="11"/>
        <v>12</v>
      </c>
      <c r="J376" s="118">
        <f t="shared" si="10"/>
        <v>438580.5</v>
      </c>
    </row>
    <row r="377" spans="2:10">
      <c r="B377">
        <v>202301</v>
      </c>
      <c r="C377" t="s">
        <v>109</v>
      </c>
      <c r="D377" t="s">
        <v>90</v>
      </c>
      <c r="E377">
        <v>10</v>
      </c>
      <c r="F377" t="s">
        <v>119</v>
      </c>
      <c r="G377" s="116">
        <v>19527348185</v>
      </c>
      <c r="I377" s="119">
        <f t="shared" si="11"/>
        <v>1</v>
      </c>
      <c r="J377" s="118">
        <f t="shared" si="10"/>
        <v>19527348185</v>
      </c>
    </row>
    <row r="378" spans="2:10">
      <c r="B378">
        <v>202301</v>
      </c>
      <c r="C378" t="s">
        <v>109</v>
      </c>
      <c r="D378" t="s">
        <v>90</v>
      </c>
      <c r="E378">
        <v>10</v>
      </c>
      <c r="F378" t="s">
        <v>118</v>
      </c>
      <c r="G378" s="116">
        <v>43359064</v>
      </c>
      <c r="I378" s="119">
        <f t="shared" si="11"/>
        <v>1</v>
      </c>
      <c r="J378" s="118">
        <f t="shared" si="10"/>
        <v>43359064</v>
      </c>
    </row>
    <row r="379" spans="2:10">
      <c r="B379">
        <v>202301</v>
      </c>
      <c r="C379" t="s">
        <v>109</v>
      </c>
      <c r="D379" t="s">
        <v>90</v>
      </c>
      <c r="E379">
        <v>30</v>
      </c>
      <c r="F379" t="s">
        <v>119</v>
      </c>
      <c r="G379" s="116">
        <v>133551</v>
      </c>
      <c r="I379" s="119">
        <f t="shared" si="11"/>
        <v>3</v>
      </c>
      <c r="J379" s="118">
        <f t="shared" si="10"/>
        <v>44517</v>
      </c>
    </row>
    <row r="380" spans="2:10">
      <c r="B380">
        <v>202301</v>
      </c>
      <c r="C380" t="s">
        <v>109</v>
      </c>
      <c r="D380" t="s">
        <v>90</v>
      </c>
      <c r="E380">
        <v>90</v>
      </c>
      <c r="F380" t="s">
        <v>118</v>
      </c>
      <c r="G380" s="116">
        <v>0</v>
      </c>
      <c r="I380" s="119">
        <f t="shared" si="11"/>
        <v>12</v>
      </c>
      <c r="J380" s="118">
        <f t="shared" si="10"/>
        <v>0</v>
      </c>
    </row>
    <row r="381" spans="2:10">
      <c r="B381">
        <v>202301</v>
      </c>
      <c r="C381" t="s">
        <v>91</v>
      </c>
      <c r="D381" t="s">
        <v>91</v>
      </c>
      <c r="E381">
        <v>10</v>
      </c>
      <c r="F381" t="s">
        <v>119</v>
      </c>
      <c r="G381" s="116">
        <v>2086410407</v>
      </c>
      <c r="I381" s="119">
        <f t="shared" si="11"/>
        <v>1</v>
      </c>
      <c r="J381" s="118">
        <f t="shared" si="10"/>
        <v>2086410407</v>
      </c>
    </row>
    <row r="382" spans="2:10">
      <c r="B382">
        <v>202301</v>
      </c>
      <c r="C382" t="s">
        <v>91</v>
      </c>
      <c r="D382" t="s">
        <v>91</v>
      </c>
      <c r="E382">
        <v>10</v>
      </c>
      <c r="F382" t="s">
        <v>118</v>
      </c>
      <c r="G382" s="116">
        <v>17405173</v>
      </c>
      <c r="I382" s="119">
        <f t="shared" si="11"/>
        <v>1</v>
      </c>
      <c r="J382" s="118">
        <f t="shared" si="10"/>
        <v>17405173</v>
      </c>
    </row>
    <row r="383" spans="2:10">
      <c r="B383">
        <v>202301</v>
      </c>
      <c r="C383" t="s">
        <v>91</v>
      </c>
      <c r="D383" t="s">
        <v>91</v>
      </c>
      <c r="E383">
        <v>30</v>
      </c>
      <c r="F383" t="s">
        <v>119</v>
      </c>
      <c r="G383" s="116">
        <v>630000</v>
      </c>
      <c r="I383" s="119">
        <f t="shared" si="11"/>
        <v>3</v>
      </c>
      <c r="J383" s="118">
        <f t="shared" si="10"/>
        <v>210000</v>
      </c>
    </row>
    <row r="384" spans="2:10">
      <c r="B384">
        <v>202301</v>
      </c>
      <c r="C384" t="s">
        <v>91</v>
      </c>
      <c r="D384" t="s">
        <v>91</v>
      </c>
      <c r="E384">
        <v>90</v>
      </c>
      <c r="F384" t="s">
        <v>119</v>
      </c>
      <c r="G384" s="116">
        <v>3053420</v>
      </c>
      <c r="I384" s="119">
        <f t="shared" si="11"/>
        <v>12</v>
      </c>
      <c r="J384" s="118">
        <f t="shared" si="10"/>
        <v>254451.66666666666</v>
      </c>
    </row>
    <row r="385" spans="2:10">
      <c r="B385">
        <v>202301</v>
      </c>
      <c r="C385" t="s">
        <v>114</v>
      </c>
      <c r="D385" t="s">
        <v>93</v>
      </c>
      <c r="E385">
        <v>10</v>
      </c>
      <c r="F385" t="s">
        <v>119</v>
      </c>
      <c r="G385" s="116">
        <v>3333648944</v>
      </c>
      <c r="I385" s="119">
        <f t="shared" si="11"/>
        <v>1</v>
      </c>
      <c r="J385" s="118">
        <f t="shared" si="10"/>
        <v>3333648944</v>
      </c>
    </row>
    <row r="386" spans="2:10">
      <c r="B386">
        <v>202301</v>
      </c>
      <c r="C386" t="s">
        <v>114</v>
      </c>
      <c r="D386" t="s">
        <v>93</v>
      </c>
      <c r="E386">
        <v>10</v>
      </c>
      <c r="F386" t="s">
        <v>118</v>
      </c>
      <c r="G386" s="116">
        <v>35348500</v>
      </c>
      <c r="I386" s="119">
        <f t="shared" si="11"/>
        <v>1</v>
      </c>
      <c r="J386" s="118">
        <f t="shared" si="10"/>
        <v>35348500</v>
      </c>
    </row>
    <row r="387" spans="2:10">
      <c r="B387">
        <v>202301</v>
      </c>
      <c r="C387" t="s">
        <v>114</v>
      </c>
      <c r="D387" t="s">
        <v>93</v>
      </c>
      <c r="E387">
        <v>30</v>
      </c>
      <c r="F387" t="s">
        <v>119</v>
      </c>
      <c r="G387" s="116">
        <v>900000</v>
      </c>
      <c r="I387" s="119">
        <f t="shared" si="11"/>
        <v>3</v>
      </c>
      <c r="J387" s="118">
        <f t="shared" ref="J387:J450" si="12">+IF(E387=0,0,G387/I387)</f>
        <v>300000</v>
      </c>
    </row>
    <row r="388" spans="2:10">
      <c r="B388">
        <v>202301</v>
      </c>
      <c r="C388" t="s">
        <v>114</v>
      </c>
      <c r="D388" t="s">
        <v>93</v>
      </c>
      <c r="E388">
        <v>90</v>
      </c>
      <c r="F388" t="s">
        <v>119</v>
      </c>
      <c r="G388" s="116">
        <v>4800000</v>
      </c>
      <c r="I388" s="119">
        <f t="shared" ref="I388:I451" si="13">+VLOOKUP($E388,$N$2:$P$7,3,0)</f>
        <v>12</v>
      </c>
      <c r="J388" s="118">
        <f t="shared" si="12"/>
        <v>400000</v>
      </c>
    </row>
    <row r="389" spans="2:10">
      <c r="B389">
        <v>202301</v>
      </c>
      <c r="C389" t="s">
        <v>114</v>
      </c>
      <c r="D389" t="s">
        <v>92</v>
      </c>
      <c r="E389">
        <v>0</v>
      </c>
      <c r="F389" t="s">
        <v>119</v>
      </c>
      <c r="G389" s="116">
        <v>0</v>
      </c>
      <c r="I389" s="119" t="str">
        <f t="shared" si="13"/>
        <v>일시납</v>
      </c>
      <c r="J389" s="118">
        <f t="shared" si="12"/>
        <v>0</v>
      </c>
    </row>
    <row r="390" spans="2:10">
      <c r="B390">
        <v>202301</v>
      </c>
      <c r="C390" t="s">
        <v>114</v>
      </c>
      <c r="D390" t="s">
        <v>92</v>
      </c>
      <c r="E390">
        <v>0</v>
      </c>
      <c r="F390" t="s">
        <v>118</v>
      </c>
      <c r="G390" s="116">
        <v>-783170000</v>
      </c>
      <c r="I390" s="119" t="str">
        <f t="shared" si="13"/>
        <v>일시납</v>
      </c>
      <c r="J390" s="118">
        <f t="shared" si="12"/>
        <v>0</v>
      </c>
    </row>
    <row r="391" spans="2:10">
      <c r="B391">
        <v>202301</v>
      </c>
      <c r="C391" t="s">
        <v>114</v>
      </c>
      <c r="D391" t="s">
        <v>92</v>
      </c>
      <c r="E391">
        <v>10</v>
      </c>
      <c r="F391" t="s">
        <v>119</v>
      </c>
      <c r="G391" s="116">
        <v>4334056733</v>
      </c>
      <c r="I391" s="119">
        <f t="shared" si="13"/>
        <v>1</v>
      </c>
      <c r="J391" s="118">
        <f t="shared" si="12"/>
        <v>4334056733</v>
      </c>
    </row>
    <row r="392" spans="2:10">
      <c r="B392">
        <v>202301</v>
      </c>
      <c r="C392" t="s">
        <v>114</v>
      </c>
      <c r="D392" t="s">
        <v>92</v>
      </c>
      <c r="E392">
        <v>90</v>
      </c>
      <c r="F392" t="s">
        <v>119</v>
      </c>
      <c r="G392" s="116">
        <v>0</v>
      </c>
      <c r="I392" s="119">
        <f t="shared" si="13"/>
        <v>12</v>
      </c>
      <c r="J392" s="118">
        <f t="shared" si="12"/>
        <v>0</v>
      </c>
    </row>
    <row r="393" spans="2:10">
      <c r="B393">
        <v>202302</v>
      </c>
      <c r="C393" t="s">
        <v>109</v>
      </c>
      <c r="D393" t="s">
        <v>89</v>
      </c>
      <c r="E393">
        <v>0</v>
      </c>
      <c r="F393" t="s">
        <v>118</v>
      </c>
      <c r="G393" s="116">
        <v>535680</v>
      </c>
      <c r="I393" s="119" t="str">
        <f t="shared" si="13"/>
        <v>일시납</v>
      </c>
      <c r="J393" s="118">
        <f t="shared" si="12"/>
        <v>0</v>
      </c>
    </row>
    <row r="394" spans="2:10">
      <c r="B394">
        <v>202302</v>
      </c>
      <c r="C394" t="s">
        <v>109</v>
      </c>
      <c r="D394" t="s">
        <v>89</v>
      </c>
      <c r="E394">
        <v>10</v>
      </c>
      <c r="F394" t="s">
        <v>119</v>
      </c>
      <c r="G394" s="116">
        <v>128028720654</v>
      </c>
      <c r="I394" s="119">
        <f t="shared" si="13"/>
        <v>1</v>
      </c>
      <c r="J394" s="118">
        <f t="shared" si="12"/>
        <v>128028720654</v>
      </c>
    </row>
    <row r="395" spans="2:10">
      <c r="B395">
        <v>202302</v>
      </c>
      <c r="C395" t="s">
        <v>109</v>
      </c>
      <c r="D395" t="s">
        <v>89</v>
      </c>
      <c r="E395">
        <v>10</v>
      </c>
      <c r="F395" t="s">
        <v>118</v>
      </c>
      <c r="G395" s="116">
        <v>3291645824</v>
      </c>
      <c r="I395" s="119">
        <f t="shared" si="13"/>
        <v>1</v>
      </c>
      <c r="J395" s="118">
        <f t="shared" si="12"/>
        <v>3291645824</v>
      </c>
    </row>
    <row r="396" spans="2:10">
      <c r="B396">
        <v>202302</v>
      </c>
      <c r="C396" t="s">
        <v>109</v>
      </c>
      <c r="D396" t="s">
        <v>89</v>
      </c>
      <c r="E396">
        <v>30</v>
      </c>
      <c r="F396" t="s">
        <v>119</v>
      </c>
      <c r="G396" s="116">
        <v>1110537</v>
      </c>
      <c r="I396" s="119">
        <f t="shared" si="13"/>
        <v>3</v>
      </c>
      <c r="J396" s="118">
        <f t="shared" si="12"/>
        <v>370179</v>
      </c>
    </row>
    <row r="397" spans="2:10">
      <c r="B397">
        <v>202302</v>
      </c>
      <c r="C397" t="s">
        <v>109</v>
      </c>
      <c r="D397" t="s">
        <v>89</v>
      </c>
      <c r="E397">
        <v>30</v>
      </c>
      <c r="F397" t="s">
        <v>118</v>
      </c>
      <c r="G397" s="116">
        <v>114101</v>
      </c>
      <c r="I397" s="119">
        <f t="shared" si="13"/>
        <v>3</v>
      </c>
      <c r="J397" s="118">
        <f t="shared" si="12"/>
        <v>38033.666666666664</v>
      </c>
    </row>
    <row r="398" spans="2:10">
      <c r="B398">
        <v>202302</v>
      </c>
      <c r="C398" t="s">
        <v>109</v>
      </c>
      <c r="D398" t="s">
        <v>89</v>
      </c>
      <c r="E398">
        <v>60</v>
      </c>
      <c r="F398" t="s">
        <v>119</v>
      </c>
      <c r="G398" s="116">
        <v>768586</v>
      </c>
      <c r="I398" s="119">
        <f t="shared" si="13"/>
        <v>6</v>
      </c>
      <c r="J398" s="118">
        <f t="shared" si="12"/>
        <v>128097.66666666667</v>
      </c>
    </row>
    <row r="399" spans="2:10">
      <c r="B399">
        <v>202302</v>
      </c>
      <c r="C399" t="s">
        <v>109</v>
      </c>
      <c r="D399" t="s">
        <v>89</v>
      </c>
      <c r="E399">
        <v>60</v>
      </c>
      <c r="F399" t="s">
        <v>118</v>
      </c>
      <c r="G399" s="116">
        <v>266400</v>
      </c>
      <c r="I399" s="119">
        <f t="shared" si="13"/>
        <v>6</v>
      </c>
      <c r="J399" s="118">
        <f t="shared" si="12"/>
        <v>44400</v>
      </c>
    </row>
    <row r="400" spans="2:10">
      <c r="B400">
        <v>202302</v>
      </c>
      <c r="C400" t="s">
        <v>109</v>
      </c>
      <c r="D400" t="s">
        <v>89</v>
      </c>
      <c r="E400">
        <v>90</v>
      </c>
      <c r="F400" t="s">
        <v>119</v>
      </c>
      <c r="G400" s="116">
        <v>14654517</v>
      </c>
      <c r="I400" s="119">
        <f t="shared" si="13"/>
        <v>12</v>
      </c>
      <c r="J400" s="118">
        <f t="shared" si="12"/>
        <v>1221209.75</v>
      </c>
    </row>
    <row r="401" spans="2:10">
      <c r="B401">
        <v>202302</v>
      </c>
      <c r="C401" t="s">
        <v>109</v>
      </c>
      <c r="D401" t="s">
        <v>89</v>
      </c>
      <c r="E401">
        <v>90</v>
      </c>
      <c r="F401" t="s">
        <v>118</v>
      </c>
      <c r="G401" s="116">
        <v>2558418</v>
      </c>
      <c r="I401" s="119">
        <f t="shared" si="13"/>
        <v>12</v>
      </c>
      <c r="J401" s="118">
        <f t="shared" si="12"/>
        <v>213201.5</v>
      </c>
    </row>
    <row r="402" spans="2:10">
      <c r="B402">
        <v>202302</v>
      </c>
      <c r="C402" t="s">
        <v>109</v>
      </c>
      <c r="D402" t="s">
        <v>15</v>
      </c>
      <c r="E402">
        <v>10</v>
      </c>
      <c r="F402" t="s">
        <v>119</v>
      </c>
      <c r="G402" s="116">
        <v>14320055305</v>
      </c>
      <c r="I402" s="119">
        <f t="shared" si="13"/>
        <v>1</v>
      </c>
      <c r="J402" s="118">
        <f t="shared" si="12"/>
        <v>14320055305</v>
      </c>
    </row>
    <row r="403" spans="2:10">
      <c r="B403">
        <v>202302</v>
      </c>
      <c r="C403" t="s">
        <v>109</v>
      </c>
      <c r="D403" t="s">
        <v>15</v>
      </c>
      <c r="E403">
        <v>10</v>
      </c>
      <c r="F403" t="s">
        <v>118</v>
      </c>
      <c r="G403" s="116">
        <v>511580236</v>
      </c>
      <c r="I403" s="119">
        <f t="shared" si="13"/>
        <v>1</v>
      </c>
      <c r="J403" s="118">
        <f t="shared" si="12"/>
        <v>511580236</v>
      </c>
    </row>
    <row r="404" spans="2:10">
      <c r="B404">
        <v>202302</v>
      </c>
      <c r="C404" t="s">
        <v>109</v>
      </c>
      <c r="D404" t="s">
        <v>15</v>
      </c>
      <c r="E404">
        <v>90</v>
      </c>
      <c r="F404" t="s">
        <v>119</v>
      </c>
      <c r="G404" s="116">
        <v>1587450</v>
      </c>
      <c r="I404" s="119">
        <f t="shared" si="13"/>
        <v>12</v>
      </c>
      <c r="J404" s="118">
        <f t="shared" si="12"/>
        <v>132287.5</v>
      </c>
    </row>
    <row r="405" spans="2:10">
      <c r="B405">
        <v>202302</v>
      </c>
      <c r="C405" t="s">
        <v>109</v>
      </c>
      <c r="D405" t="s">
        <v>15</v>
      </c>
      <c r="E405">
        <v>90</v>
      </c>
      <c r="F405" t="s">
        <v>118</v>
      </c>
      <c r="G405" s="116">
        <v>82711</v>
      </c>
      <c r="I405" s="119">
        <f t="shared" si="13"/>
        <v>12</v>
      </c>
      <c r="J405" s="118">
        <f t="shared" si="12"/>
        <v>6892.583333333333</v>
      </c>
    </row>
    <row r="406" spans="2:10">
      <c r="B406">
        <v>202302</v>
      </c>
      <c r="C406" t="s">
        <v>109</v>
      </c>
      <c r="D406" t="s">
        <v>90</v>
      </c>
      <c r="E406">
        <v>10</v>
      </c>
      <c r="F406" t="s">
        <v>119</v>
      </c>
      <c r="G406" s="116">
        <v>19470812173</v>
      </c>
      <c r="I406" s="119">
        <f t="shared" si="13"/>
        <v>1</v>
      </c>
      <c r="J406" s="118">
        <f t="shared" si="12"/>
        <v>19470812173</v>
      </c>
    </row>
    <row r="407" spans="2:10">
      <c r="B407">
        <v>202302</v>
      </c>
      <c r="C407" t="s">
        <v>109</v>
      </c>
      <c r="D407" t="s">
        <v>90</v>
      </c>
      <c r="E407">
        <v>10</v>
      </c>
      <c r="F407" t="s">
        <v>118</v>
      </c>
      <c r="G407" s="116">
        <v>43667054</v>
      </c>
      <c r="I407" s="119">
        <f t="shared" si="13"/>
        <v>1</v>
      </c>
      <c r="J407" s="118">
        <f t="shared" si="12"/>
        <v>43667054</v>
      </c>
    </row>
    <row r="408" spans="2:10">
      <c r="B408">
        <v>202302</v>
      </c>
      <c r="C408" t="s">
        <v>109</v>
      </c>
      <c r="D408" t="s">
        <v>90</v>
      </c>
      <c r="E408">
        <v>30</v>
      </c>
      <c r="F408" t="s">
        <v>119</v>
      </c>
      <c r="G408" s="116">
        <v>300000</v>
      </c>
      <c r="I408" s="119">
        <f t="shared" si="13"/>
        <v>3</v>
      </c>
      <c r="J408" s="118">
        <f t="shared" si="12"/>
        <v>100000</v>
      </c>
    </row>
    <row r="409" spans="2:10">
      <c r="B409">
        <v>202302</v>
      </c>
      <c r="C409" t="s">
        <v>109</v>
      </c>
      <c r="D409" t="s">
        <v>90</v>
      </c>
      <c r="E409">
        <v>90</v>
      </c>
      <c r="F409" t="s">
        <v>119</v>
      </c>
      <c r="G409" s="116">
        <v>7007158</v>
      </c>
      <c r="I409" s="119">
        <f t="shared" si="13"/>
        <v>12</v>
      </c>
      <c r="J409" s="118">
        <f t="shared" si="12"/>
        <v>583929.83333333337</v>
      </c>
    </row>
    <row r="410" spans="2:10">
      <c r="B410">
        <v>202302</v>
      </c>
      <c r="C410" t="s">
        <v>109</v>
      </c>
      <c r="D410" t="s">
        <v>90</v>
      </c>
      <c r="E410">
        <v>90</v>
      </c>
      <c r="F410" t="s">
        <v>118</v>
      </c>
      <c r="G410" s="116">
        <v>374800</v>
      </c>
      <c r="I410" s="119">
        <f t="shared" si="13"/>
        <v>12</v>
      </c>
      <c r="J410" s="118">
        <f t="shared" si="12"/>
        <v>31233.333333333332</v>
      </c>
    </row>
    <row r="411" spans="2:10">
      <c r="B411">
        <v>202302</v>
      </c>
      <c r="C411" t="s">
        <v>91</v>
      </c>
      <c r="D411" t="s">
        <v>91</v>
      </c>
      <c r="E411">
        <v>10</v>
      </c>
      <c r="F411" t="s">
        <v>119</v>
      </c>
      <c r="G411" s="116">
        <v>2037979578</v>
      </c>
      <c r="I411" s="119">
        <f t="shared" si="13"/>
        <v>1</v>
      </c>
      <c r="J411" s="118">
        <f t="shared" si="12"/>
        <v>2037979578</v>
      </c>
    </row>
    <row r="412" spans="2:10">
      <c r="B412">
        <v>202302</v>
      </c>
      <c r="C412" t="s">
        <v>91</v>
      </c>
      <c r="D412" t="s">
        <v>91</v>
      </c>
      <c r="E412">
        <v>10</v>
      </c>
      <c r="F412" t="s">
        <v>118</v>
      </c>
      <c r="G412" s="116">
        <v>14008028</v>
      </c>
      <c r="I412" s="119">
        <f t="shared" si="13"/>
        <v>1</v>
      </c>
      <c r="J412" s="118">
        <f t="shared" si="12"/>
        <v>14008028</v>
      </c>
    </row>
    <row r="413" spans="2:10">
      <c r="B413">
        <v>202302</v>
      </c>
      <c r="C413" t="s">
        <v>91</v>
      </c>
      <c r="D413" t="s">
        <v>91</v>
      </c>
      <c r="E413">
        <v>30</v>
      </c>
      <c r="F413" t="s">
        <v>119</v>
      </c>
      <c r="G413" s="116">
        <v>640000</v>
      </c>
      <c r="I413" s="119">
        <f t="shared" si="13"/>
        <v>3</v>
      </c>
      <c r="J413" s="118">
        <f t="shared" si="12"/>
        <v>213333.33333333334</v>
      </c>
    </row>
    <row r="414" spans="2:10">
      <c r="B414">
        <v>202302</v>
      </c>
      <c r="C414" t="s">
        <v>91</v>
      </c>
      <c r="D414" t="s">
        <v>91</v>
      </c>
      <c r="E414">
        <v>90</v>
      </c>
      <c r="F414" t="s">
        <v>119</v>
      </c>
      <c r="G414" s="116">
        <v>6560000</v>
      </c>
      <c r="I414" s="119">
        <f t="shared" si="13"/>
        <v>12</v>
      </c>
      <c r="J414" s="118">
        <f t="shared" si="12"/>
        <v>546666.66666666663</v>
      </c>
    </row>
    <row r="415" spans="2:10">
      <c r="B415">
        <v>202302</v>
      </c>
      <c r="C415" t="s">
        <v>91</v>
      </c>
      <c r="D415" t="s">
        <v>91</v>
      </c>
      <c r="E415">
        <v>90</v>
      </c>
      <c r="F415" t="s">
        <v>118</v>
      </c>
      <c r="G415" s="116">
        <v>135023</v>
      </c>
      <c r="I415" s="119">
        <f t="shared" si="13"/>
        <v>12</v>
      </c>
      <c r="J415" s="118">
        <f t="shared" si="12"/>
        <v>11251.916666666666</v>
      </c>
    </row>
    <row r="416" spans="2:10">
      <c r="B416">
        <v>202302</v>
      </c>
      <c r="C416" t="s">
        <v>114</v>
      </c>
      <c r="D416" t="s">
        <v>93</v>
      </c>
      <c r="E416">
        <v>10</v>
      </c>
      <c r="F416" t="s">
        <v>119</v>
      </c>
      <c r="G416" s="116">
        <v>3314781805</v>
      </c>
      <c r="I416" s="119">
        <f t="shared" si="13"/>
        <v>1</v>
      </c>
      <c r="J416" s="118">
        <f t="shared" si="12"/>
        <v>3314781805</v>
      </c>
    </row>
    <row r="417" spans="2:10">
      <c r="B417">
        <v>202302</v>
      </c>
      <c r="C417" t="s">
        <v>114</v>
      </c>
      <c r="D417" t="s">
        <v>93</v>
      </c>
      <c r="E417">
        <v>10</v>
      </c>
      <c r="F417" t="s">
        <v>118</v>
      </c>
      <c r="G417" s="116">
        <v>40408000</v>
      </c>
      <c r="I417" s="119">
        <f t="shared" si="13"/>
        <v>1</v>
      </c>
      <c r="J417" s="118">
        <f t="shared" si="12"/>
        <v>40408000</v>
      </c>
    </row>
    <row r="418" spans="2:10">
      <c r="B418">
        <v>202302</v>
      </c>
      <c r="C418" t="s">
        <v>114</v>
      </c>
      <c r="D418" t="s">
        <v>93</v>
      </c>
      <c r="E418">
        <v>90</v>
      </c>
      <c r="F418" t="s">
        <v>119</v>
      </c>
      <c r="G418" s="116">
        <v>4000000</v>
      </c>
      <c r="I418" s="119">
        <f t="shared" si="13"/>
        <v>12</v>
      </c>
      <c r="J418" s="118">
        <f t="shared" si="12"/>
        <v>333333.33333333331</v>
      </c>
    </row>
    <row r="419" spans="2:10">
      <c r="B419">
        <v>202302</v>
      </c>
      <c r="C419" t="s">
        <v>114</v>
      </c>
      <c r="D419" t="s">
        <v>92</v>
      </c>
      <c r="E419">
        <v>0</v>
      </c>
      <c r="F419" t="s">
        <v>119</v>
      </c>
      <c r="G419" s="116">
        <v>0</v>
      </c>
      <c r="I419" s="119" t="str">
        <f t="shared" si="13"/>
        <v>일시납</v>
      </c>
      <c r="J419" s="118">
        <f t="shared" si="12"/>
        <v>0</v>
      </c>
    </row>
    <row r="420" spans="2:10">
      <c r="B420">
        <v>202302</v>
      </c>
      <c r="C420" t="s">
        <v>114</v>
      </c>
      <c r="D420" t="s">
        <v>92</v>
      </c>
      <c r="E420">
        <v>0</v>
      </c>
      <c r="F420" t="s">
        <v>118</v>
      </c>
      <c r="G420" s="116">
        <v>0</v>
      </c>
      <c r="I420" s="119" t="str">
        <f t="shared" si="13"/>
        <v>일시납</v>
      </c>
      <c r="J420" s="118">
        <f t="shared" si="12"/>
        <v>0</v>
      </c>
    </row>
    <row r="421" spans="2:10">
      <c r="B421">
        <v>202302</v>
      </c>
      <c r="C421" t="s">
        <v>114</v>
      </c>
      <c r="D421" t="s">
        <v>92</v>
      </c>
      <c r="E421">
        <v>10</v>
      </c>
      <c r="F421" t="s">
        <v>119</v>
      </c>
      <c r="G421" s="116">
        <v>4189703189</v>
      </c>
      <c r="I421" s="119">
        <f t="shared" si="13"/>
        <v>1</v>
      </c>
      <c r="J421" s="118">
        <f t="shared" si="12"/>
        <v>4189703189</v>
      </c>
    </row>
    <row r="422" spans="2:10">
      <c r="B422">
        <v>202302</v>
      </c>
      <c r="C422" t="s">
        <v>114</v>
      </c>
      <c r="D422" t="s">
        <v>92</v>
      </c>
      <c r="E422">
        <v>10</v>
      </c>
      <c r="F422" t="s">
        <v>118</v>
      </c>
      <c r="G422" s="116">
        <v>-398000</v>
      </c>
      <c r="I422" s="119">
        <f t="shared" si="13"/>
        <v>1</v>
      </c>
      <c r="J422" s="118">
        <f t="shared" si="12"/>
        <v>-398000</v>
      </c>
    </row>
    <row r="423" spans="2:10">
      <c r="B423">
        <v>202302</v>
      </c>
      <c r="C423" t="s">
        <v>114</v>
      </c>
      <c r="D423" t="s">
        <v>92</v>
      </c>
      <c r="E423">
        <v>90</v>
      </c>
      <c r="F423" t="s">
        <v>119</v>
      </c>
      <c r="G423" s="116">
        <v>0</v>
      </c>
      <c r="I423" s="119">
        <f t="shared" si="13"/>
        <v>12</v>
      </c>
      <c r="J423" s="118">
        <f t="shared" si="12"/>
        <v>0</v>
      </c>
    </row>
    <row r="424" spans="2:10">
      <c r="B424">
        <v>202302</v>
      </c>
      <c r="C424" t="s">
        <v>114</v>
      </c>
      <c r="D424" t="s">
        <v>92</v>
      </c>
      <c r="E424">
        <v>90</v>
      </c>
      <c r="F424" t="s">
        <v>118</v>
      </c>
      <c r="G424" s="116">
        <v>0</v>
      </c>
      <c r="I424" s="119">
        <f t="shared" si="13"/>
        <v>12</v>
      </c>
      <c r="J424" s="118">
        <f t="shared" si="12"/>
        <v>0</v>
      </c>
    </row>
    <row r="425" spans="2:10">
      <c r="B425">
        <v>202303</v>
      </c>
      <c r="C425" t="s">
        <v>109</v>
      </c>
      <c r="D425" t="s">
        <v>89</v>
      </c>
      <c r="E425">
        <v>0</v>
      </c>
      <c r="F425" t="s">
        <v>118</v>
      </c>
      <c r="G425" s="116">
        <v>237872</v>
      </c>
      <c r="I425" s="119" t="str">
        <f t="shared" si="13"/>
        <v>일시납</v>
      </c>
      <c r="J425" s="118">
        <f t="shared" si="12"/>
        <v>0</v>
      </c>
    </row>
    <row r="426" spans="2:10">
      <c r="B426">
        <v>202303</v>
      </c>
      <c r="C426" t="s">
        <v>109</v>
      </c>
      <c r="D426" t="s">
        <v>89</v>
      </c>
      <c r="E426">
        <v>10</v>
      </c>
      <c r="F426" t="s">
        <v>119</v>
      </c>
      <c r="G426" s="116">
        <v>132180578493</v>
      </c>
      <c r="I426" s="119">
        <f t="shared" si="13"/>
        <v>1</v>
      </c>
      <c r="J426" s="118">
        <f t="shared" si="12"/>
        <v>132180578493</v>
      </c>
    </row>
    <row r="427" spans="2:10">
      <c r="B427">
        <v>202303</v>
      </c>
      <c r="C427" t="s">
        <v>109</v>
      </c>
      <c r="D427" t="s">
        <v>89</v>
      </c>
      <c r="E427">
        <v>10</v>
      </c>
      <c r="F427" t="s">
        <v>118</v>
      </c>
      <c r="G427" s="116">
        <v>3016530760</v>
      </c>
      <c r="I427" s="119">
        <f t="shared" si="13"/>
        <v>1</v>
      </c>
      <c r="J427" s="118">
        <f t="shared" si="12"/>
        <v>3016530760</v>
      </c>
    </row>
    <row r="428" spans="2:10">
      <c r="B428">
        <v>202303</v>
      </c>
      <c r="C428" t="s">
        <v>109</v>
      </c>
      <c r="D428" t="s">
        <v>89</v>
      </c>
      <c r="E428">
        <v>20</v>
      </c>
      <c r="F428" t="s">
        <v>119</v>
      </c>
      <c r="G428" s="116">
        <v>102980</v>
      </c>
      <c r="I428" s="119">
        <f t="shared" si="13"/>
        <v>2</v>
      </c>
      <c r="J428" s="118">
        <f t="shared" si="12"/>
        <v>51490</v>
      </c>
    </row>
    <row r="429" spans="2:10">
      <c r="B429">
        <v>202303</v>
      </c>
      <c r="C429" t="s">
        <v>109</v>
      </c>
      <c r="D429" t="s">
        <v>89</v>
      </c>
      <c r="E429">
        <v>30</v>
      </c>
      <c r="F429" t="s">
        <v>119</v>
      </c>
      <c r="G429" s="116">
        <v>799880</v>
      </c>
      <c r="I429" s="119">
        <f t="shared" si="13"/>
        <v>3</v>
      </c>
      <c r="J429" s="118">
        <f t="shared" si="12"/>
        <v>266626.66666666669</v>
      </c>
    </row>
    <row r="430" spans="2:10">
      <c r="B430">
        <v>202303</v>
      </c>
      <c r="C430" t="s">
        <v>109</v>
      </c>
      <c r="D430" t="s">
        <v>89</v>
      </c>
      <c r="E430">
        <v>60</v>
      </c>
      <c r="F430" t="s">
        <v>119</v>
      </c>
      <c r="G430" s="116">
        <v>1384469</v>
      </c>
      <c r="I430" s="119">
        <f t="shared" si="13"/>
        <v>6</v>
      </c>
      <c r="J430" s="118">
        <f t="shared" si="12"/>
        <v>230744.83333333334</v>
      </c>
    </row>
    <row r="431" spans="2:10">
      <c r="B431">
        <v>202303</v>
      </c>
      <c r="C431" t="s">
        <v>109</v>
      </c>
      <c r="D431" t="s">
        <v>89</v>
      </c>
      <c r="E431">
        <v>90</v>
      </c>
      <c r="F431" t="s">
        <v>119</v>
      </c>
      <c r="G431" s="116">
        <v>16597875</v>
      </c>
      <c r="I431" s="119">
        <f t="shared" si="13"/>
        <v>12</v>
      </c>
      <c r="J431" s="118">
        <f t="shared" si="12"/>
        <v>1383156.25</v>
      </c>
    </row>
    <row r="432" spans="2:10">
      <c r="B432">
        <v>202303</v>
      </c>
      <c r="C432" t="s">
        <v>109</v>
      </c>
      <c r="D432" t="s">
        <v>89</v>
      </c>
      <c r="E432">
        <v>90</v>
      </c>
      <c r="F432" t="s">
        <v>118</v>
      </c>
      <c r="G432" s="116">
        <v>0</v>
      </c>
      <c r="I432" s="119">
        <f t="shared" si="13"/>
        <v>12</v>
      </c>
      <c r="J432" s="118">
        <f t="shared" si="12"/>
        <v>0</v>
      </c>
    </row>
    <row r="433" spans="2:10">
      <c r="B433">
        <v>202303</v>
      </c>
      <c r="C433" t="s">
        <v>109</v>
      </c>
      <c r="D433" t="s">
        <v>15</v>
      </c>
      <c r="E433">
        <v>10</v>
      </c>
      <c r="F433" t="s">
        <v>119</v>
      </c>
      <c r="G433" s="116">
        <v>14789575392</v>
      </c>
      <c r="I433" s="119">
        <f t="shared" si="13"/>
        <v>1</v>
      </c>
      <c r="J433" s="118">
        <f t="shared" si="12"/>
        <v>14789575392</v>
      </c>
    </row>
    <row r="434" spans="2:10">
      <c r="B434">
        <v>202303</v>
      </c>
      <c r="C434" t="s">
        <v>109</v>
      </c>
      <c r="D434" t="s">
        <v>15</v>
      </c>
      <c r="E434">
        <v>10</v>
      </c>
      <c r="F434" t="s">
        <v>118</v>
      </c>
      <c r="G434" s="116">
        <v>561183770</v>
      </c>
      <c r="I434" s="119">
        <f t="shared" si="13"/>
        <v>1</v>
      </c>
      <c r="J434" s="118">
        <f t="shared" si="12"/>
        <v>561183770</v>
      </c>
    </row>
    <row r="435" spans="2:10">
      <c r="B435">
        <v>202303</v>
      </c>
      <c r="C435" t="s">
        <v>109</v>
      </c>
      <c r="D435" t="s">
        <v>15</v>
      </c>
      <c r="E435">
        <v>30</v>
      </c>
      <c r="F435" t="s">
        <v>119</v>
      </c>
      <c r="G435" s="116">
        <v>210000</v>
      </c>
      <c r="I435" s="119">
        <f t="shared" si="13"/>
        <v>3</v>
      </c>
      <c r="J435" s="118">
        <f t="shared" si="12"/>
        <v>70000</v>
      </c>
    </row>
    <row r="436" spans="2:10">
      <c r="B436">
        <v>202303</v>
      </c>
      <c r="C436" t="s">
        <v>109</v>
      </c>
      <c r="D436" t="s">
        <v>15</v>
      </c>
      <c r="E436">
        <v>60</v>
      </c>
      <c r="F436" t="s">
        <v>119</v>
      </c>
      <c r="G436" s="116">
        <v>240000</v>
      </c>
      <c r="I436" s="119">
        <f t="shared" si="13"/>
        <v>6</v>
      </c>
      <c r="J436" s="118">
        <f t="shared" si="12"/>
        <v>40000</v>
      </c>
    </row>
    <row r="437" spans="2:10">
      <c r="B437">
        <v>202303</v>
      </c>
      <c r="C437" t="s">
        <v>109</v>
      </c>
      <c r="D437" t="s">
        <v>15</v>
      </c>
      <c r="E437">
        <v>90</v>
      </c>
      <c r="F437" t="s">
        <v>119</v>
      </c>
      <c r="G437" s="116">
        <v>8989321</v>
      </c>
      <c r="I437" s="119">
        <f t="shared" si="13"/>
        <v>12</v>
      </c>
      <c r="J437" s="118">
        <f t="shared" si="12"/>
        <v>749110.08333333337</v>
      </c>
    </row>
    <row r="438" spans="2:10">
      <c r="B438">
        <v>202303</v>
      </c>
      <c r="C438" t="s">
        <v>109</v>
      </c>
      <c r="D438" t="s">
        <v>15</v>
      </c>
      <c r="E438">
        <v>90</v>
      </c>
      <c r="F438" t="s">
        <v>118</v>
      </c>
      <c r="G438" s="116">
        <v>161749</v>
      </c>
      <c r="I438" s="119">
        <f t="shared" si="13"/>
        <v>12</v>
      </c>
      <c r="J438" s="118">
        <f t="shared" si="12"/>
        <v>13479.083333333334</v>
      </c>
    </row>
    <row r="439" spans="2:10">
      <c r="B439">
        <v>202303</v>
      </c>
      <c r="C439" t="s">
        <v>109</v>
      </c>
      <c r="D439" t="s">
        <v>90</v>
      </c>
      <c r="E439">
        <v>10</v>
      </c>
      <c r="F439" t="s">
        <v>119</v>
      </c>
      <c r="G439" s="116">
        <v>19604565455</v>
      </c>
      <c r="I439" s="119">
        <f t="shared" si="13"/>
        <v>1</v>
      </c>
      <c r="J439" s="118">
        <f t="shared" si="12"/>
        <v>19604565455</v>
      </c>
    </row>
    <row r="440" spans="2:10">
      <c r="B440">
        <v>202303</v>
      </c>
      <c r="C440" t="s">
        <v>109</v>
      </c>
      <c r="D440" t="s">
        <v>90</v>
      </c>
      <c r="E440">
        <v>10</v>
      </c>
      <c r="F440" t="s">
        <v>118</v>
      </c>
      <c r="G440" s="116">
        <v>32828979</v>
      </c>
      <c r="I440" s="119">
        <f t="shared" si="13"/>
        <v>1</v>
      </c>
      <c r="J440" s="118">
        <f t="shared" si="12"/>
        <v>32828979</v>
      </c>
    </row>
    <row r="441" spans="2:10">
      <c r="B441">
        <v>202303</v>
      </c>
      <c r="C441" t="s">
        <v>109</v>
      </c>
      <c r="D441" t="s">
        <v>90</v>
      </c>
      <c r="E441">
        <v>30</v>
      </c>
      <c r="F441" t="s">
        <v>119</v>
      </c>
      <c r="G441" s="116">
        <v>105200</v>
      </c>
      <c r="I441" s="119">
        <f t="shared" si="13"/>
        <v>3</v>
      </c>
      <c r="J441" s="118">
        <f t="shared" si="12"/>
        <v>35066.666666666664</v>
      </c>
    </row>
    <row r="442" spans="2:10">
      <c r="B442">
        <v>202303</v>
      </c>
      <c r="C442" t="s">
        <v>109</v>
      </c>
      <c r="D442" t="s">
        <v>90</v>
      </c>
      <c r="E442">
        <v>90</v>
      </c>
      <c r="F442" t="s">
        <v>119</v>
      </c>
      <c r="G442" s="116">
        <v>14034758</v>
      </c>
      <c r="I442" s="119">
        <f t="shared" si="13"/>
        <v>12</v>
      </c>
      <c r="J442" s="118">
        <f t="shared" si="12"/>
        <v>1169563.1666666667</v>
      </c>
    </row>
    <row r="443" spans="2:10">
      <c r="B443">
        <v>202303</v>
      </c>
      <c r="C443" t="s">
        <v>91</v>
      </c>
      <c r="D443" t="s">
        <v>91</v>
      </c>
      <c r="E443">
        <v>10</v>
      </c>
      <c r="F443" t="s">
        <v>119</v>
      </c>
      <c r="G443" s="116">
        <v>2001766140</v>
      </c>
      <c r="I443" s="119">
        <f t="shared" si="13"/>
        <v>1</v>
      </c>
      <c r="J443" s="118">
        <f t="shared" si="12"/>
        <v>2001766140</v>
      </c>
    </row>
    <row r="444" spans="2:10">
      <c r="B444">
        <v>202303</v>
      </c>
      <c r="C444" t="s">
        <v>91</v>
      </c>
      <c r="D444" t="s">
        <v>91</v>
      </c>
      <c r="E444">
        <v>10</v>
      </c>
      <c r="F444" t="s">
        <v>118</v>
      </c>
      <c r="G444" s="116">
        <v>21308053</v>
      </c>
      <c r="I444" s="119">
        <f t="shared" si="13"/>
        <v>1</v>
      </c>
      <c r="J444" s="118">
        <f t="shared" si="12"/>
        <v>21308053</v>
      </c>
    </row>
    <row r="445" spans="2:10">
      <c r="B445">
        <v>202303</v>
      </c>
      <c r="C445" t="s">
        <v>91</v>
      </c>
      <c r="D445" t="s">
        <v>91</v>
      </c>
      <c r="E445">
        <v>30</v>
      </c>
      <c r="F445" t="s">
        <v>119</v>
      </c>
      <c r="G445" s="116">
        <v>500000</v>
      </c>
      <c r="I445" s="119">
        <f t="shared" si="13"/>
        <v>3</v>
      </c>
      <c r="J445" s="118">
        <f t="shared" si="12"/>
        <v>166666.66666666666</v>
      </c>
    </row>
    <row r="446" spans="2:10">
      <c r="B446">
        <v>202303</v>
      </c>
      <c r="C446" t="s">
        <v>91</v>
      </c>
      <c r="D446" t="s">
        <v>91</v>
      </c>
      <c r="E446">
        <v>30</v>
      </c>
      <c r="F446" t="s">
        <v>118</v>
      </c>
      <c r="G446" s="116">
        <v>0</v>
      </c>
      <c r="I446" s="119">
        <f t="shared" si="13"/>
        <v>3</v>
      </c>
      <c r="J446" s="118">
        <f t="shared" si="12"/>
        <v>0</v>
      </c>
    </row>
    <row r="447" spans="2:10">
      <c r="B447">
        <v>202303</v>
      </c>
      <c r="C447" t="s">
        <v>91</v>
      </c>
      <c r="D447" t="s">
        <v>91</v>
      </c>
      <c r="E447">
        <v>60</v>
      </c>
      <c r="F447" t="s">
        <v>119</v>
      </c>
      <c r="G447" s="116">
        <v>54000</v>
      </c>
      <c r="I447" s="119">
        <f t="shared" si="13"/>
        <v>6</v>
      </c>
      <c r="J447" s="118">
        <f t="shared" si="12"/>
        <v>9000</v>
      </c>
    </row>
    <row r="448" spans="2:10">
      <c r="B448">
        <v>202303</v>
      </c>
      <c r="C448" t="s">
        <v>91</v>
      </c>
      <c r="D448" t="s">
        <v>91</v>
      </c>
      <c r="E448">
        <v>90</v>
      </c>
      <c r="F448" t="s">
        <v>119</v>
      </c>
      <c r="G448" s="116">
        <v>1211170</v>
      </c>
      <c r="I448" s="119">
        <f t="shared" si="13"/>
        <v>12</v>
      </c>
      <c r="J448" s="118">
        <f t="shared" si="12"/>
        <v>100930.83333333333</v>
      </c>
    </row>
    <row r="449" spans="2:10">
      <c r="B449">
        <v>202303</v>
      </c>
      <c r="C449" t="s">
        <v>91</v>
      </c>
      <c r="D449" t="s">
        <v>91</v>
      </c>
      <c r="E449">
        <v>90</v>
      </c>
      <c r="F449" t="s">
        <v>118</v>
      </c>
      <c r="G449" s="116">
        <v>851366</v>
      </c>
      <c r="I449" s="119">
        <f t="shared" si="13"/>
        <v>12</v>
      </c>
      <c r="J449" s="118">
        <f t="shared" si="12"/>
        <v>70947.166666666672</v>
      </c>
    </row>
    <row r="450" spans="2:10">
      <c r="B450">
        <v>202303</v>
      </c>
      <c r="C450" t="s">
        <v>114</v>
      </c>
      <c r="D450" t="s">
        <v>93</v>
      </c>
      <c r="E450">
        <v>10</v>
      </c>
      <c r="F450" t="s">
        <v>119</v>
      </c>
      <c r="G450" s="116">
        <v>3338153646</v>
      </c>
      <c r="I450" s="119">
        <f t="shared" si="13"/>
        <v>1</v>
      </c>
      <c r="J450" s="118">
        <f t="shared" si="12"/>
        <v>3338153646</v>
      </c>
    </row>
    <row r="451" spans="2:10">
      <c r="B451">
        <v>202303</v>
      </c>
      <c r="C451" t="s">
        <v>114</v>
      </c>
      <c r="D451" t="s">
        <v>93</v>
      </c>
      <c r="E451">
        <v>10</v>
      </c>
      <c r="F451" t="s">
        <v>118</v>
      </c>
      <c r="G451" s="116">
        <v>15737700</v>
      </c>
      <c r="I451" s="119">
        <f t="shared" si="13"/>
        <v>1</v>
      </c>
      <c r="J451" s="118">
        <f t="shared" ref="J451:J514" si="14">+IF(E451=0,0,G451/I451)</f>
        <v>15737700</v>
      </c>
    </row>
    <row r="452" spans="2:10">
      <c r="B452">
        <v>202303</v>
      </c>
      <c r="C452" t="s">
        <v>114</v>
      </c>
      <c r="D452" t="s">
        <v>92</v>
      </c>
      <c r="E452">
        <v>0</v>
      </c>
      <c r="F452" t="s">
        <v>119</v>
      </c>
      <c r="G452" s="116">
        <v>2022</v>
      </c>
      <c r="I452" s="119" t="str">
        <f t="shared" ref="I452:I515" si="15">+VLOOKUP($E452,$N$2:$P$7,3,0)</f>
        <v>일시납</v>
      </c>
      <c r="J452" s="118">
        <f t="shared" si="14"/>
        <v>0</v>
      </c>
    </row>
    <row r="453" spans="2:10">
      <c r="B453">
        <v>202303</v>
      </c>
      <c r="C453" t="s">
        <v>114</v>
      </c>
      <c r="D453" t="s">
        <v>92</v>
      </c>
      <c r="E453">
        <v>0</v>
      </c>
      <c r="F453" t="s">
        <v>118</v>
      </c>
      <c r="G453" s="116">
        <v>0</v>
      </c>
      <c r="I453" s="119" t="str">
        <f t="shared" si="15"/>
        <v>일시납</v>
      </c>
      <c r="J453" s="118">
        <f t="shared" si="14"/>
        <v>0</v>
      </c>
    </row>
    <row r="454" spans="2:10">
      <c r="B454">
        <v>202303</v>
      </c>
      <c r="C454" t="s">
        <v>114</v>
      </c>
      <c r="D454" t="s">
        <v>92</v>
      </c>
      <c r="E454">
        <v>10</v>
      </c>
      <c r="F454" t="s">
        <v>119</v>
      </c>
      <c r="G454" s="116">
        <v>3747829634</v>
      </c>
      <c r="I454" s="119">
        <f t="shared" si="15"/>
        <v>1</v>
      </c>
      <c r="J454" s="118">
        <f t="shared" si="14"/>
        <v>3747829634</v>
      </c>
    </row>
    <row r="455" spans="2:10">
      <c r="B455">
        <v>202303</v>
      </c>
      <c r="C455" t="s">
        <v>114</v>
      </c>
      <c r="D455" t="s">
        <v>92</v>
      </c>
      <c r="E455">
        <v>10</v>
      </c>
      <c r="F455" t="s">
        <v>118</v>
      </c>
      <c r="G455" s="116">
        <v>-1387000</v>
      </c>
      <c r="I455" s="119">
        <f t="shared" si="15"/>
        <v>1</v>
      </c>
      <c r="J455" s="118">
        <f t="shared" si="14"/>
        <v>-1387000</v>
      </c>
    </row>
    <row r="456" spans="2:10">
      <c r="B456">
        <v>202303</v>
      </c>
      <c r="C456" t="s">
        <v>114</v>
      </c>
      <c r="D456" t="s">
        <v>92</v>
      </c>
      <c r="E456">
        <v>90</v>
      </c>
      <c r="F456" t="s">
        <v>119</v>
      </c>
      <c r="G456" s="116">
        <v>0</v>
      </c>
      <c r="I456" s="119">
        <f t="shared" si="15"/>
        <v>12</v>
      </c>
      <c r="J456" s="118">
        <f t="shared" si="14"/>
        <v>0</v>
      </c>
    </row>
    <row r="457" spans="2:10">
      <c r="B457">
        <v>202303</v>
      </c>
      <c r="C457" t="s">
        <v>114</v>
      </c>
      <c r="D457" t="s">
        <v>92</v>
      </c>
      <c r="E457">
        <v>90</v>
      </c>
      <c r="F457" t="s">
        <v>118</v>
      </c>
      <c r="G457" s="116">
        <v>0</v>
      </c>
      <c r="I457" s="119">
        <f t="shared" si="15"/>
        <v>12</v>
      </c>
      <c r="J457" s="118">
        <f t="shared" si="14"/>
        <v>0</v>
      </c>
    </row>
    <row r="458" spans="2:10">
      <c r="B458">
        <v>202304</v>
      </c>
      <c r="C458" t="s">
        <v>109</v>
      </c>
      <c r="D458" t="s">
        <v>89</v>
      </c>
      <c r="E458">
        <v>0</v>
      </c>
      <c r="F458" t="s">
        <v>118</v>
      </c>
      <c r="G458" s="116">
        <v>615497</v>
      </c>
      <c r="I458" s="119" t="str">
        <f t="shared" si="15"/>
        <v>일시납</v>
      </c>
      <c r="J458" s="118">
        <f t="shared" si="14"/>
        <v>0</v>
      </c>
    </row>
    <row r="459" spans="2:10">
      <c r="B459">
        <v>202304</v>
      </c>
      <c r="C459" t="s">
        <v>109</v>
      </c>
      <c r="D459" t="s">
        <v>89</v>
      </c>
      <c r="E459">
        <v>10</v>
      </c>
      <c r="F459" t="s">
        <v>119</v>
      </c>
      <c r="G459" s="116">
        <v>133726916481</v>
      </c>
      <c r="I459" s="119">
        <f t="shared" si="15"/>
        <v>1</v>
      </c>
      <c r="J459" s="118">
        <f t="shared" si="14"/>
        <v>133726916481</v>
      </c>
    </row>
    <row r="460" spans="2:10">
      <c r="B460">
        <v>202304</v>
      </c>
      <c r="C460" t="s">
        <v>109</v>
      </c>
      <c r="D460" t="s">
        <v>89</v>
      </c>
      <c r="E460">
        <v>10</v>
      </c>
      <c r="F460" t="s">
        <v>118</v>
      </c>
      <c r="G460" s="116">
        <v>1978615646</v>
      </c>
      <c r="I460" s="119">
        <f t="shared" si="15"/>
        <v>1</v>
      </c>
      <c r="J460" s="118">
        <f t="shared" si="14"/>
        <v>1978615646</v>
      </c>
    </row>
    <row r="461" spans="2:10">
      <c r="B461">
        <v>202304</v>
      </c>
      <c r="C461" t="s">
        <v>109</v>
      </c>
      <c r="D461" t="s">
        <v>89</v>
      </c>
      <c r="E461">
        <v>30</v>
      </c>
      <c r="F461" t="s">
        <v>119</v>
      </c>
      <c r="G461" s="116">
        <v>712080</v>
      </c>
      <c r="I461" s="119">
        <f t="shared" si="15"/>
        <v>3</v>
      </c>
      <c r="J461" s="118">
        <f t="shared" si="14"/>
        <v>237360</v>
      </c>
    </row>
    <row r="462" spans="2:10">
      <c r="B462">
        <v>202304</v>
      </c>
      <c r="C462" t="s">
        <v>109</v>
      </c>
      <c r="D462" t="s">
        <v>89</v>
      </c>
      <c r="E462">
        <v>60</v>
      </c>
      <c r="F462" t="s">
        <v>119</v>
      </c>
      <c r="G462" s="116">
        <v>1053068</v>
      </c>
      <c r="I462" s="119">
        <f t="shared" si="15"/>
        <v>6</v>
      </c>
      <c r="J462" s="118">
        <f t="shared" si="14"/>
        <v>175511.33333333334</v>
      </c>
    </row>
    <row r="463" spans="2:10">
      <c r="B463">
        <v>202304</v>
      </c>
      <c r="C463" t="s">
        <v>109</v>
      </c>
      <c r="D463" t="s">
        <v>89</v>
      </c>
      <c r="E463">
        <v>90</v>
      </c>
      <c r="F463" t="s">
        <v>119</v>
      </c>
      <c r="G463" s="116">
        <v>3810445</v>
      </c>
      <c r="I463" s="119">
        <f t="shared" si="15"/>
        <v>12</v>
      </c>
      <c r="J463" s="118">
        <f t="shared" si="14"/>
        <v>317537.08333333331</v>
      </c>
    </row>
    <row r="464" spans="2:10">
      <c r="B464">
        <v>202304</v>
      </c>
      <c r="C464" t="s">
        <v>109</v>
      </c>
      <c r="D464" t="s">
        <v>89</v>
      </c>
      <c r="E464">
        <v>90</v>
      </c>
      <c r="F464" t="s">
        <v>118</v>
      </c>
      <c r="G464" s="116">
        <v>0</v>
      </c>
      <c r="I464" s="119">
        <f t="shared" si="15"/>
        <v>12</v>
      </c>
      <c r="J464" s="118">
        <f t="shared" si="14"/>
        <v>0</v>
      </c>
    </row>
    <row r="465" spans="2:10">
      <c r="B465">
        <v>202304</v>
      </c>
      <c r="C465" t="s">
        <v>109</v>
      </c>
      <c r="D465" t="s">
        <v>15</v>
      </c>
      <c r="E465">
        <v>10</v>
      </c>
      <c r="F465" t="s">
        <v>119</v>
      </c>
      <c r="G465" s="116">
        <v>15023594014</v>
      </c>
      <c r="I465" s="119">
        <f t="shared" si="15"/>
        <v>1</v>
      </c>
      <c r="J465" s="118">
        <f t="shared" si="14"/>
        <v>15023594014</v>
      </c>
    </row>
    <row r="466" spans="2:10">
      <c r="B466">
        <v>202304</v>
      </c>
      <c r="C466" t="s">
        <v>109</v>
      </c>
      <c r="D466" t="s">
        <v>15</v>
      </c>
      <c r="E466">
        <v>10</v>
      </c>
      <c r="F466" t="s">
        <v>118</v>
      </c>
      <c r="G466" s="116">
        <v>586953867</v>
      </c>
      <c r="I466" s="119">
        <f t="shared" si="15"/>
        <v>1</v>
      </c>
      <c r="J466" s="118">
        <f t="shared" si="14"/>
        <v>586953867</v>
      </c>
    </row>
    <row r="467" spans="2:10">
      <c r="B467">
        <v>202304</v>
      </c>
      <c r="C467" t="s">
        <v>109</v>
      </c>
      <c r="D467" t="s">
        <v>15</v>
      </c>
      <c r="E467">
        <v>30</v>
      </c>
      <c r="F467" t="s">
        <v>119</v>
      </c>
      <c r="G467" s="116">
        <v>1519125</v>
      </c>
      <c r="I467" s="119">
        <f t="shared" si="15"/>
        <v>3</v>
      </c>
      <c r="J467" s="118">
        <f t="shared" si="14"/>
        <v>506375</v>
      </c>
    </row>
    <row r="468" spans="2:10">
      <c r="B468">
        <v>202304</v>
      </c>
      <c r="C468" t="s">
        <v>109</v>
      </c>
      <c r="D468" t="s">
        <v>15</v>
      </c>
      <c r="E468">
        <v>60</v>
      </c>
      <c r="F468" t="s">
        <v>119</v>
      </c>
      <c r="G468" s="116">
        <v>119688</v>
      </c>
      <c r="I468" s="119">
        <f t="shared" si="15"/>
        <v>6</v>
      </c>
      <c r="J468" s="118">
        <f t="shared" si="14"/>
        <v>19948</v>
      </c>
    </row>
    <row r="469" spans="2:10">
      <c r="B469">
        <v>202304</v>
      </c>
      <c r="C469" t="s">
        <v>109</v>
      </c>
      <c r="D469" t="s">
        <v>15</v>
      </c>
      <c r="E469">
        <v>90</v>
      </c>
      <c r="F469" t="s">
        <v>119</v>
      </c>
      <c r="G469" s="116">
        <v>1436664</v>
      </c>
      <c r="I469" s="119">
        <f t="shared" si="15"/>
        <v>12</v>
      </c>
      <c r="J469" s="118">
        <f t="shared" si="14"/>
        <v>119722</v>
      </c>
    </row>
    <row r="470" spans="2:10">
      <c r="B470">
        <v>202304</v>
      </c>
      <c r="C470" t="s">
        <v>109</v>
      </c>
      <c r="D470" t="s">
        <v>15</v>
      </c>
      <c r="E470">
        <v>90</v>
      </c>
      <c r="F470" t="s">
        <v>118</v>
      </c>
      <c r="G470" s="116">
        <v>641914</v>
      </c>
      <c r="I470" s="119">
        <f t="shared" si="15"/>
        <v>12</v>
      </c>
      <c r="J470" s="118">
        <f t="shared" si="14"/>
        <v>53492.833333333336</v>
      </c>
    </row>
    <row r="471" spans="2:10">
      <c r="B471">
        <v>202304</v>
      </c>
      <c r="C471" t="s">
        <v>109</v>
      </c>
      <c r="D471" t="s">
        <v>90</v>
      </c>
      <c r="E471">
        <v>0</v>
      </c>
      <c r="F471" t="s">
        <v>118</v>
      </c>
      <c r="G471" s="116">
        <v>0</v>
      </c>
      <c r="I471" s="119" t="str">
        <f t="shared" si="15"/>
        <v>일시납</v>
      </c>
      <c r="J471" s="118">
        <f t="shared" si="14"/>
        <v>0</v>
      </c>
    </row>
    <row r="472" spans="2:10">
      <c r="B472">
        <v>202304</v>
      </c>
      <c r="C472" t="s">
        <v>109</v>
      </c>
      <c r="D472" t="s">
        <v>90</v>
      </c>
      <c r="E472">
        <v>10</v>
      </c>
      <c r="F472" t="s">
        <v>119</v>
      </c>
      <c r="G472" s="116">
        <v>19377364897</v>
      </c>
      <c r="I472" s="119">
        <f t="shared" si="15"/>
        <v>1</v>
      </c>
      <c r="J472" s="118">
        <f t="shared" si="14"/>
        <v>19377364897</v>
      </c>
    </row>
    <row r="473" spans="2:10">
      <c r="B473">
        <v>202304</v>
      </c>
      <c r="C473" t="s">
        <v>109</v>
      </c>
      <c r="D473" t="s">
        <v>90</v>
      </c>
      <c r="E473">
        <v>10</v>
      </c>
      <c r="F473" t="s">
        <v>118</v>
      </c>
      <c r="G473" s="116">
        <v>31368738</v>
      </c>
      <c r="I473" s="119">
        <f t="shared" si="15"/>
        <v>1</v>
      </c>
      <c r="J473" s="118">
        <f t="shared" si="14"/>
        <v>31368738</v>
      </c>
    </row>
    <row r="474" spans="2:10">
      <c r="B474">
        <v>202304</v>
      </c>
      <c r="C474" t="s">
        <v>109</v>
      </c>
      <c r="D474" t="s">
        <v>90</v>
      </c>
      <c r="E474">
        <v>30</v>
      </c>
      <c r="F474" t="s">
        <v>119</v>
      </c>
      <c r="G474" s="116">
        <v>133551</v>
      </c>
      <c r="I474" s="119">
        <f t="shared" si="15"/>
        <v>3</v>
      </c>
      <c r="J474" s="118">
        <f t="shared" si="14"/>
        <v>44517</v>
      </c>
    </row>
    <row r="475" spans="2:10">
      <c r="B475">
        <v>202304</v>
      </c>
      <c r="C475" t="s">
        <v>109</v>
      </c>
      <c r="D475" t="s">
        <v>90</v>
      </c>
      <c r="E475">
        <v>90</v>
      </c>
      <c r="F475" t="s">
        <v>119</v>
      </c>
      <c r="G475" s="116">
        <v>4757370</v>
      </c>
      <c r="I475" s="119">
        <f t="shared" si="15"/>
        <v>12</v>
      </c>
      <c r="J475" s="118">
        <f t="shared" si="14"/>
        <v>396447.5</v>
      </c>
    </row>
    <row r="476" spans="2:10">
      <c r="B476">
        <v>202304</v>
      </c>
      <c r="C476" t="s">
        <v>91</v>
      </c>
      <c r="D476" t="s">
        <v>91</v>
      </c>
      <c r="E476">
        <v>10</v>
      </c>
      <c r="F476" t="s">
        <v>119</v>
      </c>
      <c r="G476" s="116">
        <v>1931925856</v>
      </c>
      <c r="I476" s="119">
        <f t="shared" si="15"/>
        <v>1</v>
      </c>
      <c r="J476" s="118">
        <f t="shared" si="14"/>
        <v>1931925856</v>
      </c>
    </row>
    <row r="477" spans="2:10">
      <c r="B477">
        <v>202304</v>
      </c>
      <c r="C477" t="s">
        <v>91</v>
      </c>
      <c r="D477" t="s">
        <v>91</v>
      </c>
      <c r="E477">
        <v>10</v>
      </c>
      <c r="F477" t="s">
        <v>118</v>
      </c>
      <c r="G477" s="116">
        <v>19352753</v>
      </c>
      <c r="I477" s="119">
        <f t="shared" si="15"/>
        <v>1</v>
      </c>
      <c r="J477" s="118">
        <f t="shared" si="14"/>
        <v>19352753</v>
      </c>
    </row>
    <row r="478" spans="2:10">
      <c r="B478">
        <v>202304</v>
      </c>
      <c r="C478" t="s">
        <v>91</v>
      </c>
      <c r="D478" t="s">
        <v>91</v>
      </c>
      <c r="E478">
        <v>30</v>
      </c>
      <c r="F478" t="s">
        <v>119</v>
      </c>
      <c r="G478" s="116">
        <v>630000</v>
      </c>
      <c r="I478" s="119">
        <f t="shared" si="15"/>
        <v>3</v>
      </c>
      <c r="J478" s="118">
        <f t="shared" si="14"/>
        <v>210000</v>
      </c>
    </row>
    <row r="479" spans="2:10">
      <c r="B479">
        <v>202304</v>
      </c>
      <c r="C479" t="s">
        <v>91</v>
      </c>
      <c r="D479" t="s">
        <v>91</v>
      </c>
      <c r="E479">
        <v>60</v>
      </c>
      <c r="F479" t="s">
        <v>118</v>
      </c>
      <c r="G479" s="116">
        <v>0</v>
      </c>
      <c r="I479" s="119">
        <f t="shared" si="15"/>
        <v>6</v>
      </c>
      <c r="J479" s="118">
        <f t="shared" si="14"/>
        <v>0</v>
      </c>
    </row>
    <row r="480" spans="2:10">
      <c r="B480">
        <v>202304</v>
      </c>
      <c r="C480" t="s">
        <v>91</v>
      </c>
      <c r="D480" t="s">
        <v>91</v>
      </c>
      <c r="E480">
        <v>90</v>
      </c>
      <c r="F480" t="s">
        <v>119</v>
      </c>
      <c r="G480" s="116">
        <v>120000</v>
      </c>
      <c r="I480" s="119">
        <f t="shared" si="15"/>
        <v>12</v>
      </c>
      <c r="J480" s="118">
        <f t="shared" si="14"/>
        <v>10000</v>
      </c>
    </row>
    <row r="481" spans="2:10">
      <c r="B481">
        <v>202304</v>
      </c>
      <c r="C481" t="s">
        <v>114</v>
      </c>
      <c r="D481" t="s">
        <v>93</v>
      </c>
      <c r="E481">
        <v>10</v>
      </c>
      <c r="F481" t="s">
        <v>119</v>
      </c>
      <c r="G481" s="116">
        <v>3312327263</v>
      </c>
      <c r="I481" s="119">
        <f t="shared" si="15"/>
        <v>1</v>
      </c>
      <c r="J481" s="118">
        <f t="shared" si="14"/>
        <v>3312327263</v>
      </c>
    </row>
    <row r="482" spans="2:10">
      <c r="B482">
        <v>202304</v>
      </c>
      <c r="C482" t="s">
        <v>114</v>
      </c>
      <c r="D482" t="s">
        <v>93</v>
      </c>
      <c r="E482">
        <v>10</v>
      </c>
      <c r="F482" t="s">
        <v>118</v>
      </c>
      <c r="G482" s="116">
        <v>14140000</v>
      </c>
      <c r="I482" s="119">
        <f t="shared" si="15"/>
        <v>1</v>
      </c>
      <c r="J482" s="118">
        <f t="shared" si="14"/>
        <v>14140000</v>
      </c>
    </row>
    <row r="483" spans="2:10">
      <c r="B483">
        <v>202304</v>
      </c>
      <c r="C483" t="s">
        <v>114</v>
      </c>
      <c r="D483" t="s">
        <v>93</v>
      </c>
      <c r="E483">
        <v>30</v>
      </c>
      <c r="F483" t="s">
        <v>119</v>
      </c>
      <c r="G483" s="116">
        <v>900000</v>
      </c>
      <c r="I483" s="119">
        <f t="shared" si="15"/>
        <v>3</v>
      </c>
      <c r="J483" s="118">
        <f t="shared" si="14"/>
        <v>300000</v>
      </c>
    </row>
    <row r="484" spans="2:10">
      <c r="B484">
        <v>202304</v>
      </c>
      <c r="C484" t="s">
        <v>114</v>
      </c>
      <c r="D484" t="s">
        <v>92</v>
      </c>
      <c r="E484">
        <v>0</v>
      </c>
      <c r="F484" t="s">
        <v>119</v>
      </c>
      <c r="G484" s="116">
        <v>0</v>
      </c>
      <c r="I484" s="119" t="str">
        <f t="shared" si="15"/>
        <v>일시납</v>
      </c>
      <c r="J484" s="118">
        <f t="shared" si="14"/>
        <v>0</v>
      </c>
    </row>
    <row r="485" spans="2:10">
      <c r="B485">
        <v>202304</v>
      </c>
      <c r="C485" t="s">
        <v>114</v>
      </c>
      <c r="D485" t="s">
        <v>92</v>
      </c>
      <c r="E485">
        <v>0</v>
      </c>
      <c r="F485" t="s">
        <v>118</v>
      </c>
      <c r="G485" s="116">
        <v>0</v>
      </c>
      <c r="I485" s="119" t="str">
        <f t="shared" si="15"/>
        <v>일시납</v>
      </c>
      <c r="J485" s="118">
        <f t="shared" si="14"/>
        <v>0</v>
      </c>
    </row>
    <row r="486" spans="2:10">
      <c r="B486">
        <v>202304</v>
      </c>
      <c r="C486" t="s">
        <v>114</v>
      </c>
      <c r="D486" t="s">
        <v>92</v>
      </c>
      <c r="E486">
        <v>10</v>
      </c>
      <c r="F486" t="s">
        <v>119</v>
      </c>
      <c r="G486" s="116">
        <v>3626552668</v>
      </c>
      <c r="I486" s="119">
        <f t="shared" si="15"/>
        <v>1</v>
      </c>
      <c r="J486" s="118">
        <f t="shared" si="14"/>
        <v>3626552668</v>
      </c>
    </row>
    <row r="487" spans="2:10">
      <c r="B487">
        <v>202304</v>
      </c>
      <c r="C487" t="s">
        <v>114</v>
      </c>
      <c r="D487" t="s">
        <v>92</v>
      </c>
      <c r="E487">
        <v>10</v>
      </c>
      <c r="F487" t="s">
        <v>118</v>
      </c>
      <c r="G487" s="116">
        <v>-300000</v>
      </c>
      <c r="I487" s="119">
        <f t="shared" si="15"/>
        <v>1</v>
      </c>
      <c r="J487" s="118">
        <f t="shared" si="14"/>
        <v>-300000</v>
      </c>
    </row>
    <row r="488" spans="2:10">
      <c r="B488">
        <v>202304</v>
      </c>
      <c r="C488" t="s">
        <v>114</v>
      </c>
      <c r="D488" t="s">
        <v>92</v>
      </c>
      <c r="E488">
        <v>90</v>
      </c>
      <c r="F488" t="s">
        <v>119</v>
      </c>
      <c r="G488" s="116">
        <v>0</v>
      </c>
      <c r="I488" s="119">
        <f t="shared" si="15"/>
        <v>12</v>
      </c>
      <c r="J488" s="118">
        <f t="shared" si="14"/>
        <v>0</v>
      </c>
    </row>
    <row r="489" spans="2:10">
      <c r="B489">
        <v>202304</v>
      </c>
      <c r="C489" t="s">
        <v>114</v>
      </c>
      <c r="D489" t="s">
        <v>92</v>
      </c>
      <c r="E489">
        <v>90</v>
      </c>
      <c r="F489" t="s">
        <v>118</v>
      </c>
      <c r="G489" s="116">
        <v>0</v>
      </c>
      <c r="I489" s="119">
        <f t="shared" si="15"/>
        <v>12</v>
      </c>
      <c r="J489" s="118">
        <f t="shared" si="14"/>
        <v>0</v>
      </c>
    </row>
    <row r="490" spans="2:10">
      <c r="B490">
        <v>202305</v>
      </c>
      <c r="C490" t="s">
        <v>109</v>
      </c>
      <c r="D490" t="s">
        <v>89</v>
      </c>
      <c r="E490">
        <v>0</v>
      </c>
      <c r="F490" t="s">
        <v>118</v>
      </c>
      <c r="G490" s="116">
        <v>255496</v>
      </c>
      <c r="I490" s="119" t="str">
        <f t="shared" si="15"/>
        <v>일시납</v>
      </c>
      <c r="J490" s="118">
        <f t="shared" si="14"/>
        <v>0</v>
      </c>
    </row>
    <row r="491" spans="2:10">
      <c r="B491">
        <v>202305</v>
      </c>
      <c r="C491" t="s">
        <v>109</v>
      </c>
      <c r="D491" t="s">
        <v>89</v>
      </c>
      <c r="E491">
        <v>10</v>
      </c>
      <c r="F491" t="s">
        <v>119</v>
      </c>
      <c r="G491" s="116">
        <v>134561430186</v>
      </c>
      <c r="I491" s="119">
        <f t="shared" si="15"/>
        <v>1</v>
      </c>
      <c r="J491" s="118">
        <f t="shared" si="14"/>
        <v>134561430186</v>
      </c>
    </row>
    <row r="492" spans="2:10">
      <c r="B492">
        <v>202305</v>
      </c>
      <c r="C492" t="s">
        <v>109</v>
      </c>
      <c r="D492" t="s">
        <v>89</v>
      </c>
      <c r="E492">
        <v>10</v>
      </c>
      <c r="F492" t="s">
        <v>118</v>
      </c>
      <c r="G492" s="116">
        <v>1928595956</v>
      </c>
      <c r="I492" s="119">
        <f t="shared" si="15"/>
        <v>1</v>
      </c>
      <c r="J492" s="118">
        <f t="shared" si="14"/>
        <v>1928595956</v>
      </c>
    </row>
    <row r="493" spans="2:10">
      <c r="B493">
        <v>202305</v>
      </c>
      <c r="C493" t="s">
        <v>109</v>
      </c>
      <c r="D493" t="s">
        <v>89</v>
      </c>
      <c r="E493">
        <v>20</v>
      </c>
      <c r="F493" t="s">
        <v>119</v>
      </c>
      <c r="G493" s="116">
        <v>102980</v>
      </c>
      <c r="I493" s="119">
        <f t="shared" si="15"/>
        <v>2</v>
      </c>
      <c r="J493" s="118">
        <f t="shared" si="14"/>
        <v>51490</v>
      </c>
    </row>
    <row r="494" spans="2:10">
      <c r="B494">
        <v>202305</v>
      </c>
      <c r="C494" t="s">
        <v>109</v>
      </c>
      <c r="D494" t="s">
        <v>89</v>
      </c>
      <c r="E494">
        <v>30</v>
      </c>
      <c r="F494" t="s">
        <v>119</v>
      </c>
      <c r="G494" s="116">
        <v>1874468</v>
      </c>
      <c r="I494" s="119">
        <f t="shared" si="15"/>
        <v>3</v>
      </c>
      <c r="J494" s="118">
        <f t="shared" si="14"/>
        <v>624822.66666666663</v>
      </c>
    </row>
    <row r="495" spans="2:10">
      <c r="B495">
        <v>202305</v>
      </c>
      <c r="C495" t="s">
        <v>109</v>
      </c>
      <c r="D495" t="s">
        <v>89</v>
      </c>
      <c r="E495">
        <v>90</v>
      </c>
      <c r="F495" t="s">
        <v>119</v>
      </c>
      <c r="G495" s="116">
        <v>8118725</v>
      </c>
      <c r="I495" s="119">
        <f t="shared" si="15"/>
        <v>12</v>
      </c>
      <c r="J495" s="118">
        <f t="shared" si="14"/>
        <v>676560.41666666663</v>
      </c>
    </row>
    <row r="496" spans="2:10">
      <c r="B496">
        <v>202305</v>
      </c>
      <c r="C496" t="s">
        <v>109</v>
      </c>
      <c r="D496" t="s">
        <v>89</v>
      </c>
      <c r="E496">
        <v>90</v>
      </c>
      <c r="F496" t="s">
        <v>118</v>
      </c>
      <c r="G496" s="116">
        <v>2102419</v>
      </c>
      <c r="I496" s="119">
        <f t="shared" si="15"/>
        <v>12</v>
      </c>
      <c r="J496" s="118">
        <f t="shared" si="14"/>
        <v>175201.58333333334</v>
      </c>
    </row>
    <row r="497" spans="2:10">
      <c r="B497">
        <v>202305</v>
      </c>
      <c r="C497" t="s">
        <v>109</v>
      </c>
      <c r="D497" t="s">
        <v>15</v>
      </c>
      <c r="E497">
        <v>10</v>
      </c>
      <c r="F497" t="s">
        <v>119</v>
      </c>
      <c r="G497" s="116">
        <v>15353601952</v>
      </c>
      <c r="I497" s="119">
        <f t="shared" si="15"/>
        <v>1</v>
      </c>
      <c r="J497" s="118">
        <f t="shared" si="14"/>
        <v>15353601952</v>
      </c>
    </row>
    <row r="498" spans="2:10">
      <c r="B498">
        <v>202305</v>
      </c>
      <c r="C498" t="s">
        <v>109</v>
      </c>
      <c r="D498" t="s">
        <v>15</v>
      </c>
      <c r="E498">
        <v>10</v>
      </c>
      <c r="F498" t="s">
        <v>118</v>
      </c>
      <c r="G498" s="116">
        <v>524440606</v>
      </c>
      <c r="I498" s="119">
        <f t="shared" si="15"/>
        <v>1</v>
      </c>
      <c r="J498" s="118">
        <f t="shared" si="14"/>
        <v>524440606</v>
      </c>
    </row>
    <row r="499" spans="2:10">
      <c r="B499">
        <v>202305</v>
      </c>
      <c r="C499" t="s">
        <v>109</v>
      </c>
      <c r="D499" t="s">
        <v>15</v>
      </c>
      <c r="E499">
        <v>60</v>
      </c>
      <c r="F499" t="s">
        <v>118</v>
      </c>
      <c r="G499" s="116">
        <v>0</v>
      </c>
      <c r="I499" s="119">
        <f t="shared" si="15"/>
        <v>6</v>
      </c>
      <c r="J499" s="118">
        <f t="shared" si="14"/>
        <v>0</v>
      </c>
    </row>
    <row r="500" spans="2:10">
      <c r="B500">
        <v>202305</v>
      </c>
      <c r="C500" t="s">
        <v>109</v>
      </c>
      <c r="D500" t="s">
        <v>15</v>
      </c>
      <c r="E500">
        <v>90</v>
      </c>
      <c r="F500" t="s">
        <v>119</v>
      </c>
      <c r="G500" s="116">
        <v>1477565</v>
      </c>
      <c r="I500" s="119">
        <f t="shared" si="15"/>
        <v>12</v>
      </c>
      <c r="J500" s="118">
        <f t="shared" si="14"/>
        <v>123130.41666666667</v>
      </c>
    </row>
    <row r="501" spans="2:10">
      <c r="B501">
        <v>202305</v>
      </c>
      <c r="C501" t="s">
        <v>109</v>
      </c>
      <c r="D501" t="s">
        <v>15</v>
      </c>
      <c r="E501">
        <v>90</v>
      </c>
      <c r="F501" t="s">
        <v>118</v>
      </c>
      <c r="G501" s="116">
        <v>73988</v>
      </c>
      <c r="I501" s="119">
        <f t="shared" si="15"/>
        <v>12</v>
      </c>
      <c r="J501" s="118">
        <f t="shared" si="14"/>
        <v>6165.666666666667</v>
      </c>
    </row>
    <row r="502" spans="2:10">
      <c r="B502">
        <v>202305</v>
      </c>
      <c r="C502" t="s">
        <v>109</v>
      </c>
      <c r="D502" t="s">
        <v>90</v>
      </c>
      <c r="E502">
        <v>10</v>
      </c>
      <c r="F502" t="s">
        <v>119</v>
      </c>
      <c r="G502" s="116">
        <v>19168698845</v>
      </c>
      <c r="I502" s="119">
        <f t="shared" si="15"/>
        <v>1</v>
      </c>
      <c r="J502" s="118">
        <f t="shared" si="14"/>
        <v>19168698845</v>
      </c>
    </row>
    <row r="503" spans="2:10">
      <c r="B503">
        <v>202305</v>
      </c>
      <c r="C503" t="s">
        <v>109</v>
      </c>
      <c r="D503" t="s">
        <v>90</v>
      </c>
      <c r="E503">
        <v>10</v>
      </c>
      <c r="F503" t="s">
        <v>118</v>
      </c>
      <c r="G503" s="116">
        <v>30741828</v>
      </c>
      <c r="I503" s="119">
        <f t="shared" si="15"/>
        <v>1</v>
      </c>
      <c r="J503" s="118">
        <f t="shared" si="14"/>
        <v>30741828</v>
      </c>
    </row>
    <row r="504" spans="2:10">
      <c r="B504">
        <v>202305</v>
      </c>
      <c r="C504" t="s">
        <v>109</v>
      </c>
      <c r="D504" t="s">
        <v>90</v>
      </c>
      <c r="E504">
        <v>30</v>
      </c>
      <c r="F504" t="s">
        <v>119</v>
      </c>
      <c r="G504" s="116">
        <v>300000</v>
      </c>
      <c r="I504" s="119">
        <f t="shared" si="15"/>
        <v>3</v>
      </c>
      <c r="J504" s="118">
        <f t="shared" si="14"/>
        <v>100000</v>
      </c>
    </row>
    <row r="505" spans="2:10">
      <c r="B505">
        <v>202305</v>
      </c>
      <c r="C505" t="s">
        <v>91</v>
      </c>
      <c r="D505" t="s">
        <v>91</v>
      </c>
      <c r="E505">
        <v>10</v>
      </c>
      <c r="F505" t="s">
        <v>119</v>
      </c>
      <c r="G505" s="116">
        <v>1883554041</v>
      </c>
      <c r="I505" s="119">
        <f t="shared" si="15"/>
        <v>1</v>
      </c>
      <c r="J505" s="118">
        <f t="shared" si="14"/>
        <v>1883554041</v>
      </c>
    </row>
    <row r="506" spans="2:10">
      <c r="B506">
        <v>202305</v>
      </c>
      <c r="C506" t="s">
        <v>91</v>
      </c>
      <c r="D506" t="s">
        <v>91</v>
      </c>
      <c r="E506">
        <v>10</v>
      </c>
      <c r="F506" t="s">
        <v>118</v>
      </c>
      <c r="G506" s="116">
        <v>21347134</v>
      </c>
      <c r="I506" s="119">
        <f t="shared" si="15"/>
        <v>1</v>
      </c>
      <c r="J506" s="118">
        <f t="shared" si="14"/>
        <v>21347134</v>
      </c>
    </row>
    <row r="507" spans="2:10">
      <c r="B507">
        <v>202305</v>
      </c>
      <c r="C507" t="s">
        <v>91</v>
      </c>
      <c r="D507" t="s">
        <v>91</v>
      </c>
      <c r="E507">
        <v>30</v>
      </c>
      <c r="F507" t="s">
        <v>119</v>
      </c>
      <c r="G507" s="116">
        <v>400000</v>
      </c>
      <c r="I507" s="119">
        <f t="shared" si="15"/>
        <v>3</v>
      </c>
      <c r="J507" s="118">
        <f t="shared" si="14"/>
        <v>133333.33333333334</v>
      </c>
    </row>
    <row r="508" spans="2:10">
      <c r="B508">
        <v>202305</v>
      </c>
      <c r="C508" t="s">
        <v>91</v>
      </c>
      <c r="D508" t="s">
        <v>91</v>
      </c>
      <c r="E508">
        <v>90</v>
      </c>
      <c r="F508" t="s">
        <v>119</v>
      </c>
      <c r="G508" s="116">
        <v>1137551</v>
      </c>
      <c r="I508" s="119">
        <f t="shared" si="15"/>
        <v>12</v>
      </c>
      <c r="J508" s="118">
        <f t="shared" si="14"/>
        <v>94795.916666666672</v>
      </c>
    </row>
    <row r="509" spans="2:10">
      <c r="B509">
        <v>202305</v>
      </c>
      <c r="C509" t="s">
        <v>114</v>
      </c>
      <c r="D509" t="s">
        <v>93</v>
      </c>
      <c r="E509">
        <v>10</v>
      </c>
      <c r="F509" t="s">
        <v>119</v>
      </c>
      <c r="G509" s="116">
        <v>3284034768</v>
      </c>
      <c r="I509" s="119">
        <f t="shared" si="15"/>
        <v>1</v>
      </c>
      <c r="J509" s="118">
        <f t="shared" si="14"/>
        <v>3284034768</v>
      </c>
    </row>
    <row r="510" spans="2:10">
      <c r="B510">
        <v>202305</v>
      </c>
      <c r="C510" t="s">
        <v>114</v>
      </c>
      <c r="D510" t="s">
        <v>93</v>
      </c>
      <c r="E510">
        <v>10</v>
      </c>
      <c r="F510" t="s">
        <v>118</v>
      </c>
      <c r="G510" s="116">
        <v>11254600</v>
      </c>
      <c r="I510" s="119">
        <f t="shared" si="15"/>
        <v>1</v>
      </c>
      <c r="J510" s="118">
        <f t="shared" si="14"/>
        <v>11254600</v>
      </c>
    </row>
    <row r="511" spans="2:10">
      <c r="B511">
        <v>202305</v>
      </c>
      <c r="C511" t="s">
        <v>114</v>
      </c>
      <c r="D511" t="s">
        <v>93</v>
      </c>
      <c r="E511">
        <v>90</v>
      </c>
      <c r="F511" t="s">
        <v>119</v>
      </c>
      <c r="G511" s="116">
        <v>20000000</v>
      </c>
      <c r="I511" s="119">
        <f t="shared" si="15"/>
        <v>12</v>
      </c>
      <c r="J511" s="118">
        <f t="shared" si="14"/>
        <v>1666666.6666666667</v>
      </c>
    </row>
    <row r="512" spans="2:10">
      <c r="B512">
        <v>202305</v>
      </c>
      <c r="C512" t="s">
        <v>114</v>
      </c>
      <c r="D512" t="s">
        <v>92</v>
      </c>
      <c r="E512">
        <v>0</v>
      </c>
      <c r="F512" t="s">
        <v>119</v>
      </c>
      <c r="G512" s="116">
        <v>202</v>
      </c>
      <c r="I512" s="119" t="str">
        <f t="shared" si="15"/>
        <v>일시납</v>
      </c>
      <c r="J512" s="118">
        <f t="shared" si="14"/>
        <v>0</v>
      </c>
    </row>
    <row r="513" spans="2:10">
      <c r="B513">
        <v>202305</v>
      </c>
      <c r="C513" t="s">
        <v>114</v>
      </c>
      <c r="D513" t="s">
        <v>92</v>
      </c>
      <c r="E513">
        <v>0</v>
      </c>
      <c r="F513" t="s">
        <v>118</v>
      </c>
      <c r="G513" s="116">
        <v>0</v>
      </c>
      <c r="I513" s="119" t="str">
        <f t="shared" si="15"/>
        <v>일시납</v>
      </c>
      <c r="J513" s="118">
        <f t="shared" si="14"/>
        <v>0</v>
      </c>
    </row>
    <row r="514" spans="2:10">
      <c r="B514">
        <v>202305</v>
      </c>
      <c r="C514" t="s">
        <v>114</v>
      </c>
      <c r="D514" t="s">
        <v>92</v>
      </c>
      <c r="E514">
        <v>10</v>
      </c>
      <c r="F514" t="s">
        <v>119</v>
      </c>
      <c r="G514" s="116">
        <v>3360150732</v>
      </c>
      <c r="I514" s="119">
        <f t="shared" si="15"/>
        <v>1</v>
      </c>
      <c r="J514" s="118">
        <f t="shared" si="14"/>
        <v>3360150732</v>
      </c>
    </row>
    <row r="515" spans="2:10">
      <c r="B515">
        <v>202305</v>
      </c>
      <c r="C515" t="s">
        <v>114</v>
      </c>
      <c r="D515" t="s">
        <v>92</v>
      </c>
      <c r="E515">
        <v>10</v>
      </c>
      <c r="F515" t="s">
        <v>118</v>
      </c>
      <c r="G515" s="116">
        <v>-990000</v>
      </c>
      <c r="I515" s="119">
        <f t="shared" si="15"/>
        <v>1</v>
      </c>
      <c r="J515" s="118">
        <f t="shared" ref="J515:J550" si="16">+IF(E515=0,0,G515/I515)</f>
        <v>-990000</v>
      </c>
    </row>
    <row r="516" spans="2:10">
      <c r="B516">
        <v>202305</v>
      </c>
      <c r="C516" t="s">
        <v>114</v>
      </c>
      <c r="D516" t="s">
        <v>92</v>
      </c>
      <c r="E516">
        <v>60</v>
      </c>
      <c r="F516" t="s">
        <v>119</v>
      </c>
      <c r="G516" s="116">
        <v>600000</v>
      </c>
      <c r="I516" s="119">
        <f t="shared" ref="I516:I550" si="17">+VLOOKUP($E516,$N$2:$P$7,3,0)</f>
        <v>6</v>
      </c>
      <c r="J516" s="118">
        <f t="shared" si="16"/>
        <v>100000</v>
      </c>
    </row>
    <row r="517" spans="2:10">
      <c r="B517">
        <v>202305</v>
      </c>
      <c r="C517" t="s">
        <v>114</v>
      </c>
      <c r="D517" t="s">
        <v>92</v>
      </c>
      <c r="E517">
        <v>90</v>
      </c>
      <c r="F517" t="s">
        <v>119</v>
      </c>
      <c r="G517" s="116">
        <v>0</v>
      </c>
      <c r="I517" s="119">
        <f t="shared" si="17"/>
        <v>12</v>
      </c>
      <c r="J517" s="118">
        <f t="shared" si="16"/>
        <v>0</v>
      </c>
    </row>
    <row r="518" spans="2:10">
      <c r="B518">
        <v>202305</v>
      </c>
      <c r="C518" t="s">
        <v>114</v>
      </c>
      <c r="D518" t="s">
        <v>92</v>
      </c>
      <c r="E518">
        <v>90</v>
      </c>
      <c r="F518" t="s">
        <v>118</v>
      </c>
      <c r="G518" s="116">
        <v>0</v>
      </c>
      <c r="I518" s="119">
        <f t="shared" si="17"/>
        <v>12</v>
      </c>
      <c r="J518" s="118">
        <f t="shared" si="16"/>
        <v>0</v>
      </c>
    </row>
    <row r="519" spans="2:10">
      <c r="B519">
        <v>202306</v>
      </c>
      <c r="C519" t="s">
        <v>109</v>
      </c>
      <c r="D519" t="s">
        <v>89</v>
      </c>
      <c r="E519">
        <v>0</v>
      </c>
      <c r="F519" t="s">
        <v>118</v>
      </c>
      <c r="G519" s="116">
        <v>187400</v>
      </c>
      <c r="I519" s="119" t="str">
        <f t="shared" si="17"/>
        <v>일시납</v>
      </c>
      <c r="J519" s="118">
        <f t="shared" si="16"/>
        <v>0</v>
      </c>
    </row>
    <row r="520" spans="2:10">
      <c r="B520">
        <v>202306</v>
      </c>
      <c r="C520" t="s">
        <v>109</v>
      </c>
      <c r="D520" t="s">
        <v>89</v>
      </c>
      <c r="E520">
        <v>10</v>
      </c>
      <c r="F520" t="s">
        <v>119</v>
      </c>
      <c r="G520" s="116">
        <v>136444545115</v>
      </c>
      <c r="I520" s="119">
        <f t="shared" si="17"/>
        <v>1</v>
      </c>
      <c r="J520" s="118">
        <f t="shared" si="16"/>
        <v>136444545115</v>
      </c>
    </row>
    <row r="521" spans="2:10">
      <c r="B521">
        <v>202306</v>
      </c>
      <c r="C521" t="s">
        <v>109</v>
      </c>
      <c r="D521" t="s">
        <v>89</v>
      </c>
      <c r="E521">
        <v>10</v>
      </c>
      <c r="F521" t="s">
        <v>118</v>
      </c>
      <c r="G521" s="116">
        <v>1705369434</v>
      </c>
      <c r="I521" s="119">
        <f t="shared" si="17"/>
        <v>1</v>
      </c>
      <c r="J521" s="118">
        <f t="shared" si="16"/>
        <v>1705369434</v>
      </c>
    </row>
    <row r="522" spans="2:10">
      <c r="B522">
        <v>202306</v>
      </c>
      <c r="C522" t="s">
        <v>109</v>
      </c>
      <c r="D522" t="s">
        <v>89</v>
      </c>
      <c r="E522">
        <v>30</v>
      </c>
      <c r="F522" t="s">
        <v>119</v>
      </c>
      <c r="G522" s="116">
        <v>745262</v>
      </c>
      <c r="I522" s="119">
        <f t="shared" si="17"/>
        <v>3</v>
      </c>
      <c r="J522" s="118">
        <f t="shared" si="16"/>
        <v>248420.66666666666</v>
      </c>
    </row>
    <row r="523" spans="2:10">
      <c r="B523">
        <v>202306</v>
      </c>
      <c r="C523" t="s">
        <v>109</v>
      </c>
      <c r="D523" t="s">
        <v>89</v>
      </c>
      <c r="E523">
        <v>60</v>
      </c>
      <c r="F523" t="s">
        <v>119</v>
      </c>
      <c r="G523" s="116">
        <v>1378948</v>
      </c>
      <c r="I523" s="119">
        <f t="shared" si="17"/>
        <v>6</v>
      </c>
      <c r="J523" s="118">
        <f t="shared" si="16"/>
        <v>229824.66666666666</v>
      </c>
    </row>
    <row r="524" spans="2:10">
      <c r="B524">
        <v>202306</v>
      </c>
      <c r="C524" t="s">
        <v>109</v>
      </c>
      <c r="D524" t="s">
        <v>89</v>
      </c>
      <c r="E524">
        <v>90</v>
      </c>
      <c r="F524" t="s">
        <v>119</v>
      </c>
      <c r="G524" s="116">
        <v>12353902</v>
      </c>
      <c r="I524" s="119">
        <f t="shared" si="17"/>
        <v>12</v>
      </c>
      <c r="J524" s="118">
        <f t="shared" si="16"/>
        <v>1029491.8333333334</v>
      </c>
    </row>
    <row r="525" spans="2:10">
      <c r="B525">
        <v>202306</v>
      </c>
      <c r="C525" t="s">
        <v>109</v>
      </c>
      <c r="D525" t="s">
        <v>89</v>
      </c>
      <c r="E525">
        <v>90</v>
      </c>
      <c r="F525" t="s">
        <v>118</v>
      </c>
      <c r="G525" s="116">
        <v>120000</v>
      </c>
      <c r="I525" s="119">
        <f t="shared" si="17"/>
        <v>12</v>
      </c>
      <c r="J525" s="118">
        <f t="shared" si="16"/>
        <v>10000</v>
      </c>
    </row>
    <row r="526" spans="2:10">
      <c r="B526">
        <v>202306</v>
      </c>
      <c r="C526" t="s">
        <v>109</v>
      </c>
      <c r="D526" t="s">
        <v>15</v>
      </c>
      <c r="E526">
        <v>10</v>
      </c>
      <c r="F526" t="s">
        <v>119</v>
      </c>
      <c r="G526" s="116">
        <v>15660414085</v>
      </c>
      <c r="I526" s="119">
        <f t="shared" si="17"/>
        <v>1</v>
      </c>
      <c r="J526" s="118">
        <f t="shared" si="16"/>
        <v>15660414085</v>
      </c>
    </row>
    <row r="527" spans="2:10">
      <c r="B527">
        <v>202306</v>
      </c>
      <c r="C527" t="s">
        <v>109</v>
      </c>
      <c r="D527" t="s">
        <v>15</v>
      </c>
      <c r="E527">
        <v>10</v>
      </c>
      <c r="F527" t="s">
        <v>118</v>
      </c>
      <c r="G527" s="116">
        <v>686091267</v>
      </c>
      <c r="I527" s="119">
        <f t="shared" si="17"/>
        <v>1</v>
      </c>
      <c r="J527" s="118">
        <f t="shared" si="16"/>
        <v>686091267</v>
      </c>
    </row>
    <row r="528" spans="2:10">
      <c r="B528">
        <v>202306</v>
      </c>
      <c r="C528" t="s">
        <v>109</v>
      </c>
      <c r="D528" t="s">
        <v>15</v>
      </c>
      <c r="E528">
        <v>30</v>
      </c>
      <c r="F528" t="s">
        <v>119</v>
      </c>
      <c r="G528" s="116">
        <v>210000</v>
      </c>
      <c r="I528" s="119">
        <f t="shared" si="17"/>
        <v>3</v>
      </c>
      <c r="J528" s="118">
        <f t="shared" si="16"/>
        <v>70000</v>
      </c>
    </row>
    <row r="529" spans="2:10">
      <c r="B529">
        <v>202306</v>
      </c>
      <c r="C529" t="s">
        <v>109</v>
      </c>
      <c r="D529" t="s">
        <v>15</v>
      </c>
      <c r="E529">
        <v>60</v>
      </c>
      <c r="F529" t="s">
        <v>119</v>
      </c>
      <c r="G529" s="116">
        <v>0</v>
      </c>
      <c r="I529" s="119">
        <f t="shared" si="17"/>
        <v>6</v>
      </c>
      <c r="J529" s="118">
        <f t="shared" si="16"/>
        <v>0</v>
      </c>
    </row>
    <row r="530" spans="2:10">
      <c r="B530">
        <v>202306</v>
      </c>
      <c r="C530" t="s">
        <v>109</v>
      </c>
      <c r="D530" t="s">
        <v>15</v>
      </c>
      <c r="E530">
        <v>60</v>
      </c>
      <c r="F530" t="s">
        <v>118</v>
      </c>
      <c r="G530" s="116">
        <v>29700</v>
      </c>
      <c r="I530" s="119">
        <f t="shared" si="17"/>
        <v>6</v>
      </c>
      <c r="J530" s="118">
        <f t="shared" si="16"/>
        <v>4950</v>
      </c>
    </row>
    <row r="531" spans="2:10">
      <c r="B531">
        <v>202306</v>
      </c>
      <c r="C531" t="s">
        <v>109</v>
      </c>
      <c r="D531" t="s">
        <v>15</v>
      </c>
      <c r="E531">
        <v>90</v>
      </c>
      <c r="F531" t="s">
        <v>119</v>
      </c>
      <c r="G531" s="116">
        <v>2469365</v>
      </c>
      <c r="I531" s="119">
        <f t="shared" si="17"/>
        <v>12</v>
      </c>
      <c r="J531" s="118">
        <f t="shared" si="16"/>
        <v>205780.41666666666</v>
      </c>
    </row>
    <row r="532" spans="2:10">
      <c r="B532">
        <v>202306</v>
      </c>
      <c r="C532" t="s">
        <v>109</v>
      </c>
      <c r="D532" t="s">
        <v>15</v>
      </c>
      <c r="E532">
        <v>90</v>
      </c>
      <c r="F532" t="s">
        <v>118</v>
      </c>
      <c r="G532" s="116">
        <v>166610</v>
      </c>
      <c r="I532" s="119">
        <f t="shared" si="17"/>
        <v>12</v>
      </c>
      <c r="J532" s="118">
        <f t="shared" si="16"/>
        <v>13884.166666666666</v>
      </c>
    </row>
    <row r="533" spans="2:10">
      <c r="B533">
        <v>202306</v>
      </c>
      <c r="C533" t="s">
        <v>109</v>
      </c>
      <c r="D533" t="s">
        <v>90</v>
      </c>
      <c r="E533">
        <v>10</v>
      </c>
      <c r="F533" t="s">
        <v>119</v>
      </c>
      <c r="G533" s="116">
        <v>19162310009</v>
      </c>
      <c r="I533" s="119">
        <f t="shared" si="17"/>
        <v>1</v>
      </c>
      <c r="J533" s="118">
        <f t="shared" si="16"/>
        <v>19162310009</v>
      </c>
    </row>
    <row r="534" spans="2:10">
      <c r="B534">
        <v>202306</v>
      </c>
      <c r="C534" t="s">
        <v>109</v>
      </c>
      <c r="D534" t="s">
        <v>90</v>
      </c>
      <c r="E534">
        <v>10</v>
      </c>
      <c r="F534" t="s">
        <v>118</v>
      </c>
      <c r="G534" s="116">
        <v>973132339</v>
      </c>
      <c r="I534" s="119">
        <f t="shared" si="17"/>
        <v>1</v>
      </c>
      <c r="J534" s="118">
        <f t="shared" si="16"/>
        <v>973132339</v>
      </c>
    </row>
    <row r="535" spans="2:10">
      <c r="B535">
        <v>202306</v>
      </c>
      <c r="C535" t="s">
        <v>109</v>
      </c>
      <c r="D535" t="s">
        <v>90</v>
      </c>
      <c r="E535">
        <v>30</v>
      </c>
      <c r="F535" t="s">
        <v>119</v>
      </c>
      <c r="G535" s="116">
        <v>105200</v>
      </c>
      <c r="I535" s="119">
        <f t="shared" si="17"/>
        <v>3</v>
      </c>
      <c r="J535" s="118">
        <f t="shared" si="16"/>
        <v>35066.666666666664</v>
      </c>
    </row>
    <row r="536" spans="2:10">
      <c r="B536">
        <v>202306</v>
      </c>
      <c r="C536" t="s">
        <v>109</v>
      </c>
      <c r="D536" t="s">
        <v>90</v>
      </c>
      <c r="E536">
        <v>90</v>
      </c>
      <c r="F536" t="s">
        <v>119</v>
      </c>
      <c r="G536" s="116">
        <v>389925</v>
      </c>
      <c r="I536" s="119">
        <f t="shared" si="17"/>
        <v>12</v>
      </c>
      <c r="J536" s="118">
        <f t="shared" si="16"/>
        <v>32493.75</v>
      </c>
    </row>
    <row r="537" spans="2:10">
      <c r="B537">
        <v>202306</v>
      </c>
      <c r="C537" t="s">
        <v>109</v>
      </c>
      <c r="D537" t="s">
        <v>90</v>
      </c>
      <c r="E537">
        <v>90</v>
      </c>
      <c r="F537" t="s">
        <v>118</v>
      </c>
      <c r="G537" s="116">
        <v>0</v>
      </c>
      <c r="I537" s="119">
        <f t="shared" si="17"/>
        <v>12</v>
      </c>
      <c r="J537" s="118">
        <f t="shared" si="16"/>
        <v>0</v>
      </c>
    </row>
    <row r="538" spans="2:10">
      <c r="B538">
        <v>202306</v>
      </c>
      <c r="C538" t="s">
        <v>91</v>
      </c>
      <c r="D538" t="s">
        <v>91</v>
      </c>
      <c r="E538">
        <v>10</v>
      </c>
      <c r="F538" t="s">
        <v>119</v>
      </c>
      <c r="G538" s="116">
        <v>1844634353</v>
      </c>
      <c r="I538" s="119">
        <f t="shared" si="17"/>
        <v>1</v>
      </c>
      <c r="J538" s="118">
        <f t="shared" si="16"/>
        <v>1844634353</v>
      </c>
    </row>
    <row r="539" spans="2:10">
      <c r="B539">
        <v>202306</v>
      </c>
      <c r="C539" t="s">
        <v>91</v>
      </c>
      <c r="D539" t="s">
        <v>91</v>
      </c>
      <c r="E539">
        <v>10</v>
      </c>
      <c r="F539" t="s">
        <v>118</v>
      </c>
      <c r="G539" s="116">
        <v>12879067</v>
      </c>
      <c r="I539" s="119">
        <f t="shared" si="17"/>
        <v>1</v>
      </c>
      <c r="J539" s="118">
        <f t="shared" si="16"/>
        <v>12879067</v>
      </c>
    </row>
    <row r="540" spans="2:10">
      <c r="B540">
        <v>202306</v>
      </c>
      <c r="C540" t="s">
        <v>91</v>
      </c>
      <c r="D540" t="s">
        <v>91</v>
      </c>
      <c r="E540">
        <v>30</v>
      </c>
      <c r="F540" t="s">
        <v>119</v>
      </c>
      <c r="G540" s="116">
        <v>500000</v>
      </c>
      <c r="I540" s="119">
        <f t="shared" si="17"/>
        <v>3</v>
      </c>
      <c r="J540" s="118">
        <f t="shared" si="16"/>
        <v>166666.66666666666</v>
      </c>
    </row>
    <row r="541" spans="2:10">
      <c r="B541">
        <v>202306</v>
      </c>
      <c r="C541" t="s">
        <v>91</v>
      </c>
      <c r="D541" t="s">
        <v>91</v>
      </c>
      <c r="E541">
        <v>90</v>
      </c>
      <c r="F541" t="s">
        <v>119</v>
      </c>
      <c r="G541" s="116">
        <v>2095808</v>
      </c>
      <c r="I541" s="119">
        <f t="shared" si="17"/>
        <v>12</v>
      </c>
      <c r="J541" s="118">
        <f t="shared" si="16"/>
        <v>174650.66666666666</v>
      </c>
    </row>
    <row r="542" spans="2:10">
      <c r="B542">
        <v>202306</v>
      </c>
      <c r="C542" t="s">
        <v>114</v>
      </c>
      <c r="D542" t="s">
        <v>93</v>
      </c>
      <c r="E542">
        <v>10</v>
      </c>
      <c r="F542" t="s">
        <v>119</v>
      </c>
      <c r="G542" s="116">
        <v>3277425590</v>
      </c>
      <c r="I542" s="119">
        <f t="shared" si="17"/>
        <v>1</v>
      </c>
      <c r="J542" s="118">
        <f t="shared" si="16"/>
        <v>3277425590</v>
      </c>
    </row>
    <row r="543" spans="2:10">
      <c r="B543">
        <v>202306</v>
      </c>
      <c r="C543" t="s">
        <v>114</v>
      </c>
      <c r="D543" t="s">
        <v>93</v>
      </c>
      <c r="E543">
        <v>10</v>
      </c>
      <c r="F543" t="s">
        <v>118</v>
      </c>
      <c r="G543" s="116">
        <v>9142400</v>
      </c>
      <c r="I543" s="119">
        <f t="shared" si="17"/>
        <v>1</v>
      </c>
      <c r="J543" s="118">
        <f t="shared" si="16"/>
        <v>9142400</v>
      </c>
    </row>
    <row r="544" spans="2:10">
      <c r="B544">
        <v>202306</v>
      </c>
      <c r="C544" t="s">
        <v>114</v>
      </c>
      <c r="D544" t="s">
        <v>93</v>
      </c>
      <c r="E544">
        <v>90</v>
      </c>
      <c r="F544" t="s">
        <v>119</v>
      </c>
      <c r="G544" s="116">
        <v>7900000</v>
      </c>
      <c r="I544" s="119">
        <f t="shared" si="17"/>
        <v>12</v>
      </c>
      <c r="J544" s="118">
        <f t="shared" si="16"/>
        <v>658333.33333333337</v>
      </c>
    </row>
    <row r="545" spans="2:10">
      <c r="B545">
        <v>202306</v>
      </c>
      <c r="C545" t="s">
        <v>114</v>
      </c>
      <c r="D545" t="s">
        <v>92</v>
      </c>
      <c r="E545">
        <v>0</v>
      </c>
      <c r="F545" t="s">
        <v>119</v>
      </c>
      <c r="G545" s="116">
        <v>0</v>
      </c>
      <c r="I545" s="119" t="str">
        <f t="shared" si="17"/>
        <v>일시납</v>
      </c>
      <c r="J545" s="118">
        <f t="shared" si="16"/>
        <v>0</v>
      </c>
    </row>
    <row r="546" spans="2:10">
      <c r="B546">
        <v>202306</v>
      </c>
      <c r="C546" t="s">
        <v>114</v>
      </c>
      <c r="D546" t="s">
        <v>92</v>
      </c>
      <c r="E546">
        <v>0</v>
      </c>
      <c r="F546" t="s">
        <v>118</v>
      </c>
      <c r="G546" s="116">
        <v>0</v>
      </c>
      <c r="I546" s="119" t="str">
        <f t="shared" si="17"/>
        <v>일시납</v>
      </c>
      <c r="J546" s="118">
        <f t="shared" si="16"/>
        <v>0</v>
      </c>
    </row>
    <row r="547" spans="2:10">
      <c r="B547">
        <v>202306</v>
      </c>
      <c r="C547" t="s">
        <v>114</v>
      </c>
      <c r="D547" t="s">
        <v>92</v>
      </c>
      <c r="E547">
        <v>10</v>
      </c>
      <c r="F547" t="s">
        <v>119</v>
      </c>
      <c r="G547" s="116">
        <v>3159079357</v>
      </c>
      <c r="I547" s="119">
        <f t="shared" si="17"/>
        <v>1</v>
      </c>
      <c r="J547" s="118">
        <f t="shared" si="16"/>
        <v>3159079357</v>
      </c>
    </row>
    <row r="548" spans="2:10">
      <c r="B548">
        <v>202306</v>
      </c>
      <c r="C548" t="s">
        <v>114</v>
      </c>
      <c r="D548" t="s">
        <v>92</v>
      </c>
      <c r="E548">
        <v>10</v>
      </c>
      <c r="F548" t="s">
        <v>118</v>
      </c>
      <c r="G548" s="116">
        <v>-560000</v>
      </c>
      <c r="I548" s="119">
        <f t="shared" si="17"/>
        <v>1</v>
      </c>
      <c r="J548" s="118">
        <f t="shared" si="16"/>
        <v>-560000</v>
      </c>
    </row>
    <row r="549" spans="2:10">
      <c r="B549">
        <v>202306</v>
      </c>
      <c r="C549" t="s">
        <v>114</v>
      </c>
      <c r="D549" t="s">
        <v>92</v>
      </c>
      <c r="E549">
        <v>90</v>
      </c>
      <c r="F549" t="s">
        <v>119</v>
      </c>
      <c r="G549" s="116">
        <v>0</v>
      </c>
      <c r="I549" s="119">
        <f t="shared" si="17"/>
        <v>12</v>
      </c>
      <c r="J549" s="118">
        <f t="shared" si="16"/>
        <v>0</v>
      </c>
    </row>
    <row r="550" spans="2:10">
      <c r="B550">
        <v>202306</v>
      </c>
      <c r="C550" t="s">
        <v>114</v>
      </c>
      <c r="D550" t="s">
        <v>92</v>
      </c>
      <c r="E550">
        <v>90</v>
      </c>
      <c r="F550" t="s">
        <v>118</v>
      </c>
      <c r="G550" s="116">
        <v>0</v>
      </c>
      <c r="I550" s="119">
        <f t="shared" si="17"/>
        <v>12</v>
      </c>
      <c r="J550" s="118">
        <f t="shared" si="16"/>
        <v>0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6</vt:i4>
      </vt:variant>
    </vt:vector>
  </HeadingPairs>
  <TitlesOfParts>
    <vt:vector size="16" baseType="lpstr">
      <vt:lpstr>표지</vt:lpstr>
      <vt:lpstr>Highlight</vt:lpstr>
      <vt:lpstr>Premium</vt:lpstr>
      <vt:lpstr>UW Income</vt:lpstr>
      <vt:lpstr>IS</vt:lpstr>
      <vt:lpstr>BS</vt:lpstr>
      <vt:lpstr>&gt;&gt;경영기획팀back</vt:lpstr>
      <vt:lpstr>월별</vt:lpstr>
      <vt:lpstr>Q</vt:lpstr>
      <vt:lpstr>R</vt:lpstr>
      <vt:lpstr>BS!Print_Area</vt:lpstr>
      <vt:lpstr>Highlight!Print_Area</vt:lpstr>
      <vt:lpstr>IS!Print_Area</vt:lpstr>
      <vt:lpstr>Premium!Print_Area</vt:lpstr>
      <vt:lpstr>'UW Income'!Print_Area</vt:lpstr>
      <vt:lpstr>표지!Print_Area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lotte</dc:creator>
  <cp:lastModifiedBy>lotte</cp:lastModifiedBy>
  <dcterms:created xsi:type="dcterms:W3CDTF">2023-08-04T01:36:30Z</dcterms:created>
  <dcterms:modified xsi:type="dcterms:W3CDTF">2023-08-14T07:19:42Z</dcterms:modified>
</cp:coreProperties>
</file>